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490" windowHeight="9015" tabRatio="875" firstSheet="10"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state="hidden" r:id="rId30"/>
    <sheet name="不动产收益法" sheetId="15" r:id="rId31"/>
    <sheet name="酒店收入计算" sheetId="57" state="hidden" r:id="rId32"/>
    <sheet name="成本逼近法" sheetId="11" state="hidden" r:id="rId33"/>
    <sheet name="不动产比较法-高层"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Sheet2" sheetId="69" r:id="rId44"/>
    <sheet name="商业案例位置" sheetId="72" r:id="rId45"/>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3">'不动产比较法-高层'!$A$1:$K$54,'不动产比较法-高层'!$A$57:$M$131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29">'不动产收益法-商业'!$A$1:$F$43,'不动产收益法-商业'!$H$3:$M$29,'不动产收益法-商业'!$A$46:$F$70,'不动产收益法-商业'!$I$46:$M$60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'不动产比较法-住宅'!$B$88:$M$88</definedName>
    <definedName name="住宅房型" localSheetId="33">'不动产比较法-高层'!$B$118:$M$118</definedName>
    <definedName name="住宅房型">'不动产比较法-住宅'!$B$118:$M$118</definedName>
    <definedName name="住宅公共部分装修" localSheetId="33">'不动产比较法-高层'!$B$109:$M$109</definedName>
    <definedName name="住宅公共部分装修">'不动产比较法-住宅'!$B$109:$M$109</definedName>
    <definedName name="住宅基础设施水平" localSheetId="33">'不动产比较法-高层'!$B$116:$M$116</definedName>
    <definedName name="住宅基础设施水平">'不动产比较法-住宅'!$B$116:$M$116</definedName>
    <definedName name="住宅建筑结构" localSheetId="33">'不动产比较法-高层'!$B$105:$M$105</definedName>
    <definedName name="住宅建筑结构">'不动产比较法-住宅'!$B$105:$M$105</definedName>
    <definedName name="住宅建筑类型" localSheetId="33">'不动产比较法-高层'!$B$100:$M$100</definedName>
    <definedName name="住宅建筑类型">'不动产比较法-住宅'!$B$100:$M$100</definedName>
    <definedName name="住宅建筑品质" localSheetId="33">'不动产比较法-高层'!$B$107:$M$107</definedName>
    <definedName name="住宅建筑品质">'不动产比较法-住宅'!$B$107:$M$107</definedName>
    <definedName name="住宅交易情况" localSheetId="33">'不动产比较法-高层'!$A$61:$M$61</definedName>
    <definedName name="住宅交易情况">'不动产比较法-住宅'!$A$61:$M$61</definedName>
    <definedName name="住宅楼层" localSheetId="33">'不动产比较法-高层'!$B$86:$M$86</definedName>
    <definedName name="住宅楼层">'不动产比较法-住宅'!$B$86:$M$86</definedName>
    <definedName name="住宅内部装修" localSheetId="33">'不动产比较法-高层'!$B$122:$M$122</definedName>
    <definedName name="住宅内部装修">'不动产比较法-住宅'!$B$122:$M$122</definedName>
    <definedName name="住宅物业管理" localSheetId="33">'不动产比较法-高层'!$B$114:$M$114</definedName>
    <definedName name="住宅物业管理">'不动产比较法-住宅'!$B$114:$M$114</definedName>
    <definedName name="住宅用途" localSheetId="33">'不动产比较法-高层'!$B$63:$M$63</definedName>
    <definedName name="住宅用途">'不动产比较法-住宅'!$B$63:$M$63</definedName>
    <definedName name="住宅主力户型面积" localSheetId="33">'不动产比较法-高层'!$B$120:$M$120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K23" i="33" l="1"/>
  <c r="K21" i="33"/>
  <c r="K19" i="33"/>
  <c r="K17" i="33"/>
  <c r="L9" i="1"/>
  <c r="M15" i="3"/>
  <c r="AD16" i="3"/>
  <c r="I48" i="39" l="1"/>
  <c r="I40" i="39"/>
  <c r="G40" i="39"/>
  <c r="E40" i="39"/>
  <c r="D104" i="33"/>
  <c r="E104" i="33" s="1"/>
  <c r="F104" i="33" s="1"/>
  <c r="D59" i="33"/>
  <c r="E59" i="33" s="1"/>
  <c r="F59" i="33" s="1"/>
  <c r="G59" i="33" s="1"/>
  <c r="Q73" i="71" l="1"/>
  <c r="Q60" i="71"/>
  <c r="D60" i="71"/>
  <c r="Q59" i="71"/>
  <c r="K59" i="71"/>
  <c r="P75" i="71" s="1"/>
  <c r="Q52" i="71"/>
  <c r="J50" i="71"/>
  <c r="J51" i="71" s="1"/>
  <c r="M47" i="71"/>
  <c r="L46" i="71" s="1"/>
  <c r="F33" i="71"/>
  <c r="F60" i="71" s="1"/>
  <c r="F23" i="71"/>
  <c r="D24" i="71" s="1"/>
  <c r="D23" i="71"/>
  <c r="D22" i="71"/>
  <c r="F21" i="71"/>
  <c r="F20" i="71"/>
  <c r="M19" i="71"/>
  <c r="F18" i="71"/>
  <c r="F17" i="71"/>
  <c r="F15" i="71"/>
  <c r="K11" i="70"/>
  <c r="E68" i="21"/>
  <c r="F68" i="21" s="1"/>
  <c r="G68" i="21" s="1"/>
  <c r="D68" i="21"/>
  <c r="D68" i="70"/>
  <c r="C67" i="70" s="1"/>
  <c r="K17" i="70"/>
  <c r="D79" i="70" s="1"/>
  <c r="E79" i="70" s="1"/>
  <c r="K15" i="70"/>
  <c r="D77" i="70" s="1"/>
  <c r="E77" i="70" s="1"/>
  <c r="G47" i="70"/>
  <c r="I47" i="70"/>
  <c r="V47" i="70" s="1"/>
  <c r="E47" i="70"/>
  <c r="C145" i="70"/>
  <c r="J142" i="70"/>
  <c r="J140" i="70"/>
  <c r="K145" i="70" s="1"/>
  <c r="K139" i="70"/>
  <c r="B130" i="70"/>
  <c r="B128" i="70"/>
  <c r="F45" i="70" s="1"/>
  <c r="AA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E104" i="70"/>
  <c r="F104" i="70" s="1"/>
  <c r="G104" i="70" s="1"/>
  <c r="H104" i="70" s="1"/>
  <c r="I104" i="70" s="1"/>
  <c r="D104" i="70"/>
  <c r="D103" i="70"/>
  <c r="E103" i="70" s="1"/>
  <c r="F103" i="70" s="1"/>
  <c r="M102" i="70"/>
  <c r="L102" i="70"/>
  <c r="K102" i="70"/>
  <c r="J102" i="70"/>
  <c r="D101" i="70"/>
  <c r="E101" i="70" s="1"/>
  <c r="F101" i="70" s="1"/>
  <c r="G101" i="70" s="1"/>
  <c r="H101" i="70" s="1"/>
  <c r="I101" i="70" s="1"/>
  <c r="J101" i="70" s="1"/>
  <c r="K101" i="70" s="1"/>
  <c r="L101" i="70" s="1"/>
  <c r="M101" i="70" s="1"/>
  <c r="B98" i="70"/>
  <c r="B96" i="70"/>
  <c r="J30" i="70" s="1"/>
  <c r="AC30" i="70" s="1"/>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B74" i="70"/>
  <c r="B72" i="70"/>
  <c r="B70" i="70"/>
  <c r="J12" i="70" s="1"/>
  <c r="AC12" i="70" s="1"/>
  <c r="D69" i="70"/>
  <c r="E69" i="70" s="1"/>
  <c r="F69" i="70" s="1"/>
  <c r="G69" i="70" s="1"/>
  <c r="H69" i="70" s="1"/>
  <c r="I69" i="70" s="1"/>
  <c r="J69" i="70" s="1"/>
  <c r="K69" i="70" s="1"/>
  <c r="L69" i="70" s="1"/>
  <c r="M69" i="70" s="1"/>
  <c r="M67" i="70"/>
  <c r="L67" i="70"/>
  <c r="K67" i="70"/>
  <c r="J67" i="70"/>
  <c r="E66" i="70"/>
  <c r="F66" i="70" s="1"/>
  <c r="G66" i="70" s="1"/>
  <c r="H66" i="70" s="1"/>
  <c r="I66" i="70" s="1"/>
  <c r="D66" i="70"/>
  <c r="C63" i="70"/>
  <c r="P49" i="70"/>
  <c r="P48" i="70"/>
  <c r="K48" i="70"/>
  <c r="P47" i="70"/>
  <c r="Q46" i="70"/>
  <c r="Z46" i="70" s="1"/>
  <c r="J46" i="70"/>
  <c r="AC46" i="70" s="1"/>
  <c r="H46" i="70"/>
  <c r="AB46" i="70" s="1"/>
  <c r="F46" i="70"/>
  <c r="AA46" i="70" s="1"/>
  <c r="Q45" i="70"/>
  <c r="Z45" i="70" s="1"/>
  <c r="Q44" i="70"/>
  <c r="Z44" i="70" s="1"/>
  <c r="J44" i="70"/>
  <c r="AC44" i="70" s="1"/>
  <c r="H44" i="70"/>
  <c r="AB44" i="70" s="1"/>
  <c r="F44" i="70"/>
  <c r="AA44" i="70" s="1"/>
  <c r="Q43" i="70"/>
  <c r="Z43" i="70" s="1"/>
  <c r="J43" i="70"/>
  <c r="AC43" i="70" s="1"/>
  <c r="H43" i="70"/>
  <c r="AB43" i="70" s="1"/>
  <c r="Q42" i="70"/>
  <c r="Z42" i="70" s="1"/>
  <c r="H42" i="70"/>
  <c r="AB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H30" i="70"/>
  <c r="AB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F25" i="70"/>
  <c r="AA25" i="70" s="1"/>
  <c r="Q23" i="70"/>
  <c r="Z23" i="70" s="1"/>
  <c r="H23" i="70"/>
  <c r="C23" i="70"/>
  <c r="Q21" i="70"/>
  <c r="Z21" i="70" s="1"/>
  <c r="J21" i="70"/>
  <c r="AC21" i="70" s="1"/>
  <c r="H21" i="70"/>
  <c r="AB21" i="70" s="1"/>
  <c r="F21" i="70"/>
  <c r="AA21" i="70" s="1"/>
  <c r="C21" i="70"/>
  <c r="Q19" i="70"/>
  <c r="Z19" i="70" s="1"/>
  <c r="C19" i="70"/>
  <c r="Q17" i="70"/>
  <c r="Z17" i="70" s="1"/>
  <c r="C17" i="70"/>
  <c r="Q15" i="70"/>
  <c r="Z15" i="70" s="1"/>
  <c r="C15" i="70"/>
  <c r="Q14" i="70"/>
  <c r="Z14" i="70" s="1"/>
  <c r="J14" i="70"/>
  <c r="AC14" i="70" s="1"/>
  <c r="H14" i="70"/>
  <c r="AB14" i="70" s="1"/>
  <c r="F14" i="70"/>
  <c r="AA14" i="70" s="1"/>
  <c r="Q13" i="70"/>
  <c r="Z13" i="70" s="1"/>
  <c r="J13" i="70"/>
  <c r="AC13" i="70" s="1"/>
  <c r="H13" i="70"/>
  <c r="AB13" i="70" s="1"/>
  <c r="F13" i="70"/>
  <c r="AA13" i="70" s="1"/>
  <c r="Q12" i="70"/>
  <c r="Z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AC8" i="70" s="1"/>
  <c r="H8" i="70"/>
  <c r="AB8" i="70" s="1"/>
  <c r="F8" i="70"/>
  <c r="AA8" i="70" s="1"/>
  <c r="G47" i="21"/>
  <c r="F43" i="70" l="1"/>
  <c r="AA43" i="70" s="1"/>
  <c r="J42" i="70"/>
  <c r="AC42" i="70" s="1"/>
  <c r="F42" i="70"/>
  <c r="AA42" i="70" s="1"/>
  <c r="H113" i="70"/>
  <c r="F37" i="70"/>
  <c r="AA37" i="70" s="1"/>
  <c r="J37" i="70"/>
  <c r="AC37" i="70" s="1"/>
  <c r="H37" i="70"/>
  <c r="AB37" i="70" s="1"/>
  <c r="W8" i="70"/>
  <c r="H12" i="70"/>
  <c r="AB12" i="70" s="1"/>
  <c r="J23" i="70"/>
  <c r="AC23" i="70" s="1"/>
  <c r="H19" i="70"/>
  <c r="AB19" i="70" s="1"/>
  <c r="H45" i="70"/>
  <c r="AB45" i="70" s="1"/>
  <c r="J19" i="70"/>
  <c r="AC19" i="70" s="1"/>
  <c r="F23" i="70"/>
  <c r="AA23" i="70" s="1"/>
  <c r="F30" i="70"/>
  <c r="AA30" i="70" s="1"/>
  <c r="J45" i="70"/>
  <c r="AC45" i="70" s="1"/>
  <c r="C102" i="70"/>
  <c r="F19" i="70"/>
  <c r="AA19" i="70" s="1"/>
  <c r="E68" i="70"/>
  <c r="P62" i="71"/>
  <c r="F79" i="70"/>
  <c r="G79" i="70" s="1"/>
  <c r="J17" i="70"/>
  <c r="AC17" i="70" s="1"/>
  <c r="F77" i="70"/>
  <c r="G77" i="70" s="1"/>
  <c r="H15" i="70"/>
  <c r="AB15" i="70" s="1"/>
  <c r="G54" i="70"/>
  <c r="H54" i="70" s="1"/>
  <c r="U8" i="70"/>
  <c r="U9" i="70"/>
  <c r="S10" i="70"/>
  <c r="W10" i="70"/>
  <c r="S13" i="70"/>
  <c r="W13" i="70"/>
  <c r="U14" i="70"/>
  <c r="U19" i="70"/>
  <c r="U21" i="70"/>
  <c r="AB23" i="70"/>
  <c r="U23" i="70"/>
  <c r="W23" i="70"/>
  <c r="AB25" i="70"/>
  <c r="U25" i="70"/>
  <c r="S9" i="70"/>
  <c r="W9" i="70"/>
  <c r="U10" i="70"/>
  <c r="S12" i="70"/>
  <c r="W12" i="70"/>
  <c r="U13" i="70"/>
  <c r="S14" i="70"/>
  <c r="W14" i="70"/>
  <c r="S19" i="70"/>
  <c r="S21" i="70"/>
  <c r="W21" i="70"/>
  <c r="S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U45" i="70"/>
  <c r="S46" i="70"/>
  <c r="W46" i="70"/>
  <c r="E54" i="70"/>
  <c r="F54" i="70" s="1"/>
  <c r="I54" i="70"/>
  <c r="J54" i="70" s="1"/>
  <c r="R47"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G103" i="70"/>
  <c r="E102" i="70"/>
  <c r="F102" i="70"/>
  <c r="T47" i="70"/>
  <c r="D102" i="70"/>
  <c r="K141" i="70"/>
  <c r="K143" i="70"/>
  <c r="K144" i="70"/>
  <c r="E47" i="21"/>
  <c r="D104" i="21"/>
  <c r="E104" i="21" s="1"/>
  <c r="F104" i="21" s="1"/>
  <c r="G104" i="21" s="1"/>
  <c r="H104" i="21" s="1"/>
  <c r="I104" i="21" s="1"/>
  <c r="E103" i="21"/>
  <c r="F103" i="21" s="1"/>
  <c r="G103" i="21" s="1"/>
  <c r="H103" i="21" s="1"/>
  <c r="I103" i="21" s="1"/>
  <c r="D103" i="21"/>
  <c r="U37" i="70" l="1"/>
  <c r="W17" i="70"/>
  <c r="W19" i="70"/>
  <c r="J15" i="70"/>
  <c r="F17" i="70"/>
  <c r="E67" i="70"/>
  <c r="F68" i="70"/>
  <c r="D67" i="70"/>
  <c r="U12" i="70"/>
  <c r="F15" i="70"/>
  <c r="AA15" i="70" s="1"/>
  <c r="H17" i="70"/>
  <c r="AB17" i="70" s="1"/>
  <c r="U15" i="70"/>
  <c r="S15" i="70"/>
  <c r="H103" i="70"/>
  <c r="L7" i="1"/>
  <c r="U17" i="70" l="1"/>
  <c r="AC15" i="70"/>
  <c r="W15" i="70"/>
  <c r="G68" i="70"/>
  <c r="F67" i="70" s="1"/>
  <c r="AA17" i="70"/>
  <c r="S17" i="70"/>
  <c r="I103" i="70"/>
  <c r="I102" i="70" s="1"/>
  <c r="H102" i="70"/>
  <c r="G102" i="70"/>
  <c r="I7" i="39"/>
  <c r="G7" i="39"/>
  <c r="E7" i="39"/>
  <c r="G67" i="70" l="1"/>
  <c r="H68" i="70"/>
  <c r="Q3" i="68"/>
  <c r="Q4" i="68"/>
  <c r="Q5" i="68"/>
  <c r="Q6" i="68"/>
  <c r="Q7" i="68"/>
  <c r="Q8" i="68"/>
  <c r="Q9" i="68"/>
  <c r="Q10" i="68"/>
  <c r="Q11" i="68"/>
  <c r="Q12" i="68"/>
  <c r="Q13" i="68"/>
  <c r="Q14" i="68"/>
  <c r="Q15" i="68"/>
  <c r="Q16" i="68"/>
  <c r="Q17" i="68"/>
  <c r="Q18" i="68"/>
  <c r="Q19" i="68"/>
  <c r="Q20" i="68"/>
  <c r="Q21" i="68"/>
  <c r="Q22" i="68"/>
  <c r="Q23" i="68"/>
  <c r="Q24" i="68"/>
  <c r="Q25" i="68"/>
  <c r="Q26" i="68"/>
  <c r="Q27" i="68"/>
  <c r="Q2" i="68"/>
  <c r="L8" i="1"/>
  <c r="L14" i="1" s="1"/>
  <c r="E119" i="39"/>
  <c r="F119" i="39" s="1"/>
  <c r="G119" i="39" s="1"/>
  <c r="D119" i="39"/>
  <c r="G48" i="39"/>
  <c r="E48" i="39"/>
  <c r="E73" i="39"/>
  <c r="F73" i="39" s="1"/>
  <c r="G73" i="39" s="1"/>
  <c r="H73" i="39" s="1"/>
  <c r="I73" i="39" s="1"/>
  <c r="J73" i="39" s="1"/>
  <c r="K73" i="39" s="1"/>
  <c r="L73" i="39" s="1"/>
  <c r="M73" i="39" s="1"/>
  <c r="N73" i="39" s="1"/>
  <c r="D73" i="39"/>
  <c r="I9" i="39"/>
  <c r="G9" i="39"/>
  <c r="E9" i="39"/>
  <c r="A3" i="3"/>
  <c r="C40" i="39" s="1"/>
  <c r="D3" i="4"/>
  <c r="I68" i="70" l="1"/>
  <c r="I67" i="70" s="1"/>
  <c r="AH5" i="59"/>
  <c r="AG5" i="59"/>
  <c r="AE5" i="59"/>
  <c r="AF5" i="59" s="1"/>
  <c r="AD5" i="59"/>
  <c r="Q5" i="59"/>
  <c r="P5" i="59"/>
  <c r="O5" i="59"/>
  <c r="N5" i="59"/>
  <c r="H67" i="70" l="1"/>
  <c r="AH6" i="59"/>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s="1"/>
  <c r="D18" i="59"/>
  <c r="AH16" i="59"/>
  <c r="AG16" i="59"/>
  <c r="AE16" i="59"/>
  <c r="AF16" i="59" s="1"/>
  <c r="AD16" i="59"/>
  <c r="AE17" i="59"/>
  <c r="AF17" i="59"/>
  <c r="AG17" i="59"/>
  <c r="AH17" i="59"/>
  <c r="AD17" i="59"/>
  <c r="Q17" i="59"/>
  <c r="P17" i="59"/>
  <c r="O17" i="59"/>
  <c r="N17" i="59"/>
  <c r="N18" i="59"/>
  <c r="Q18" i="59"/>
  <c r="P18" i="59"/>
  <c r="O18" i="59"/>
  <c r="Y11" i="59" s="1"/>
  <c r="K59" i="15"/>
  <c r="P62" i="15" s="1"/>
  <c r="Q74" i="44"/>
  <c r="Q61" i="44"/>
  <c r="Q60" i="44"/>
  <c r="Q53" i="44"/>
  <c r="J51" i="44"/>
  <c r="J52" i="44"/>
  <c r="M48" i="44"/>
  <c r="A16" i="55"/>
  <c r="A15" i="55"/>
  <c r="B66" i="63"/>
  <c r="A10" i="55"/>
  <c r="B61" i="63" s="1"/>
  <c r="A9" i="55"/>
  <c r="B60" i="63"/>
  <c r="A8" i="55"/>
  <c r="A6" i="54"/>
  <c r="A8" i="54"/>
  <c r="A7" i="54"/>
  <c r="B51" i="63" s="1"/>
  <c r="A27" i="51"/>
  <c r="B20" i="63" s="1"/>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E17" i="59"/>
  <c r="U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X30" i="59"/>
  <c r="X31" i="59"/>
  <c r="S2" i="31"/>
  <c r="M2" i="31"/>
  <c r="N2" i="31"/>
  <c r="O2" i="31"/>
  <c r="P2" i="31"/>
  <c r="Q2" i="31"/>
  <c r="R2" i="31"/>
  <c r="C3" i="65"/>
  <c r="C1" i="65"/>
  <c r="N1" i="65" s="1"/>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C12" i="46"/>
  <c r="AA12" i="46"/>
  <c r="B73" i="63"/>
  <c r="A21" i="64"/>
  <c r="B75" i="63" s="1"/>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G5" i="54"/>
  <c r="B34" i="63"/>
  <c r="E5" i="54"/>
  <c r="B32" i="63"/>
  <c r="R2" i="54"/>
  <c r="B24" i="63"/>
  <c r="B49" i="50"/>
  <c r="B5" i="63"/>
  <c r="B40" i="50"/>
  <c r="B3" i="63"/>
  <c r="B67" i="63"/>
  <c r="I19" i="46"/>
  <c r="Q21" i="59"/>
  <c r="F21" i="59" s="1"/>
  <c r="P21" i="59"/>
  <c r="AA14" i="59" s="1"/>
  <c r="O21" i="59"/>
  <c r="C21" i="59" s="1"/>
  <c r="N21" i="59"/>
  <c r="B21" i="59" s="1"/>
  <c r="D82" i="59"/>
  <c r="F81" i="59"/>
  <c r="F80" i="59" s="1"/>
  <c r="F79" i="59" s="1"/>
  <c r="E81" i="59"/>
  <c r="E80" i="59" s="1"/>
  <c r="E79" i="59" s="1"/>
  <c r="C81" i="59"/>
  <c r="C80" i="59" s="1"/>
  <c r="D80" i="59" s="1"/>
  <c r="B81" i="59"/>
  <c r="B80" i="59"/>
  <c r="B79" i="59"/>
  <c r="D78" i="59"/>
  <c r="F77" i="59"/>
  <c r="F76" i="59" s="1"/>
  <c r="E77" i="59"/>
  <c r="E76" i="59"/>
  <c r="E75" i="59" s="1"/>
  <c r="C77" i="59"/>
  <c r="D77" i="59" s="1"/>
  <c r="B77" i="59"/>
  <c r="B76" i="59" s="1"/>
  <c r="B75" i="59" s="1"/>
  <c r="F75" i="59"/>
  <c r="D74" i="59"/>
  <c r="Q73" i="59"/>
  <c r="P73" i="59"/>
  <c r="O73" i="59"/>
  <c r="N73" i="59"/>
  <c r="F73" i="59"/>
  <c r="E73" i="59"/>
  <c r="U73" i="59" s="1"/>
  <c r="C73" i="59"/>
  <c r="T73" i="59"/>
  <c r="B73" i="59"/>
  <c r="S73" i="59" s="1"/>
  <c r="Q72" i="59"/>
  <c r="P72" i="59"/>
  <c r="O72" i="59"/>
  <c r="N72" i="59"/>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C65" i="59"/>
  <c r="T65" i="59" s="1"/>
  <c r="B65" i="59"/>
  <c r="B64" i="59" s="1"/>
  <c r="S65" i="59"/>
  <c r="Q64" i="59"/>
  <c r="P64" i="59"/>
  <c r="O64" i="59"/>
  <c r="N64" i="59"/>
  <c r="B63" i="59"/>
  <c r="Q63" i="59"/>
  <c r="P63" i="59"/>
  <c r="O63" i="59"/>
  <c r="N63" i="59"/>
  <c r="Q62" i="59"/>
  <c r="P62" i="59"/>
  <c r="O62" i="59"/>
  <c r="N62" i="59"/>
  <c r="D62" i="59"/>
  <c r="F61" i="59"/>
  <c r="V61" i="59"/>
  <c r="E61" i="59"/>
  <c r="E60" i="59"/>
  <c r="C61" i="59"/>
  <c r="B61" i="59"/>
  <c r="N61" i="59"/>
  <c r="F60" i="59"/>
  <c r="F59" i="59"/>
  <c r="Q58" i="59" s="1"/>
  <c r="B60" i="59"/>
  <c r="N60"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c r="N54" i="59"/>
  <c r="B55" i="59" s="1"/>
  <c r="D54" i="59"/>
  <c r="Q53" i="59"/>
  <c r="P53" i="59"/>
  <c r="O53" i="59"/>
  <c r="N53" i="59"/>
  <c r="Q52" i="59"/>
  <c r="P52" i="59"/>
  <c r="O52" i="59"/>
  <c r="N52" i="59"/>
  <c r="Q51" i="59"/>
  <c r="P51" i="59"/>
  <c r="O51" i="59"/>
  <c r="N51" i="59"/>
  <c r="Q50" i="59"/>
  <c r="F51" i="59"/>
  <c r="P50" i="59"/>
  <c r="E51" i="59" s="1"/>
  <c r="E52" i="59" s="1"/>
  <c r="E53" i="59" s="1"/>
  <c r="U53" i="59"/>
  <c r="O50" i="59"/>
  <c r="C51" i="59"/>
  <c r="N50" i="59"/>
  <c r="B51" i="59"/>
  <c r="B52" i="59" s="1"/>
  <c r="B53" i="59" s="1"/>
  <c r="S53" i="59" s="1"/>
  <c r="D50" i="59"/>
  <c r="Q49" i="59"/>
  <c r="P49" i="59"/>
  <c r="O49" i="59"/>
  <c r="N49" i="59"/>
  <c r="Q48" i="59"/>
  <c r="P48" i="59"/>
  <c r="O48" i="59"/>
  <c r="N48" i="59"/>
  <c r="Q47" i="59"/>
  <c r="P47" i="59"/>
  <c r="O47" i="59"/>
  <c r="N47" i="59"/>
  <c r="Q46" i="59"/>
  <c r="F47" i="59"/>
  <c r="F48" i="59" s="1"/>
  <c r="F49" i="59" s="1"/>
  <c r="P46" i="59"/>
  <c r="E47" i="59" s="1"/>
  <c r="O46" i="59"/>
  <c r="C47" i="59" s="1"/>
  <c r="N46" i="59"/>
  <c r="B47" i="59"/>
  <c r="B48" i="59"/>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c r="U41" i="59" s="1"/>
  <c r="O38" i="59"/>
  <c r="C39" i="59"/>
  <c r="D39" i="59" s="1"/>
  <c r="N38" i="59"/>
  <c r="B39" i="59" s="1"/>
  <c r="B40" i="59" s="1"/>
  <c r="B41" i="59" s="1"/>
  <c r="S41" i="59"/>
  <c r="D38" i="59"/>
  <c r="Q37" i="59"/>
  <c r="P37" i="59"/>
  <c r="O37" i="59"/>
  <c r="N37" i="59"/>
  <c r="Q36" i="59"/>
  <c r="P36" i="59"/>
  <c r="O36" i="59"/>
  <c r="N36" i="59"/>
  <c r="Q35" i="59"/>
  <c r="P35" i="59"/>
  <c r="O35" i="59"/>
  <c r="N35" i="59"/>
  <c r="Q34" i="59"/>
  <c r="F35" i="59"/>
  <c r="P34" i="59"/>
  <c r="E35" i="59"/>
  <c r="E36" i="59" s="1"/>
  <c r="E37" i="59" s="1"/>
  <c r="U37" i="59" s="1"/>
  <c r="O34" i="59"/>
  <c r="C35" i="59" s="1"/>
  <c r="C36" i="59" s="1"/>
  <c r="C37" i="59" s="1"/>
  <c r="N34" i="59"/>
  <c r="B35" i="59" s="1"/>
  <c r="D34" i="59"/>
  <c r="Q33" i="59"/>
  <c r="P33" i="59"/>
  <c r="O33" i="59"/>
  <c r="N33" i="59"/>
  <c r="Q32" i="59"/>
  <c r="AB32" i="59" s="1"/>
  <c r="P32" i="59"/>
  <c r="AA31" i="59" s="1"/>
  <c r="O32" i="59"/>
  <c r="Y32" i="59"/>
  <c r="Z32" i="59" s="1"/>
  <c r="N32" i="59"/>
  <c r="X32" i="59" s="1"/>
  <c r="Q31" i="59"/>
  <c r="AB31" i="59" s="1"/>
  <c r="P31" i="59"/>
  <c r="O31" i="59"/>
  <c r="N31" i="59"/>
  <c r="Q30" i="59"/>
  <c r="P30" i="59"/>
  <c r="O30" i="59"/>
  <c r="Y25" i="59" s="1"/>
  <c r="Z25" i="59" s="1"/>
  <c r="N30" i="59"/>
  <c r="B31" i="59"/>
  <c r="B32" i="59"/>
  <c r="B33" i="59" s="1"/>
  <c r="S33" i="59" s="1"/>
  <c r="D30" i="59"/>
  <c r="Q29" i="59"/>
  <c r="AB29" i="59" s="1"/>
  <c r="P29" i="59"/>
  <c r="AA29" i="59" s="1"/>
  <c r="O29" i="59"/>
  <c r="N29" i="59"/>
  <c r="Q28" i="59"/>
  <c r="AB28" i="59" s="1"/>
  <c r="P28" i="59"/>
  <c r="AA28" i="59" s="1"/>
  <c r="O28" i="59"/>
  <c r="N28" i="59"/>
  <c r="X28" i="59" s="1"/>
  <c r="Q27" i="59"/>
  <c r="AB27" i="59" s="1"/>
  <c r="P27" i="59"/>
  <c r="AA27" i="59" s="1"/>
  <c r="O27" i="59"/>
  <c r="N27" i="59"/>
  <c r="Q26" i="59"/>
  <c r="AB26" i="59" s="1"/>
  <c r="F27" i="59"/>
  <c r="F28" i="59" s="1"/>
  <c r="F29" i="59" s="1"/>
  <c r="P26" i="59"/>
  <c r="E27" i="59"/>
  <c r="O26" i="59"/>
  <c r="C27" i="59" s="1"/>
  <c r="N26" i="59"/>
  <c r="X22" i="59" s="1"/>
  <c r="D26" i="59"/>
  <c r="Q25" i="59"/>
  <c r="AB25" i="59" s="1"/>
  <c r="P25" i="59"/>
  <c r="O25" i="59"/>
  <c r="N25" i="59"/>
  <c r="Q24" i="59"/>
  <c r="AB24" i="59" s="1"/>
  <c r="P24" i="59"/>
  <c r="O24" i="59"/>
  <c r="N24" i="59"/>
  <c r="Q23" i="59"/>
  <c r="AB23" i="59" s="1"/>
  <c r="P23" i="59"/>
  <c r="O23" i="59"/>
  <c r="N23" i="59"/>
  <c r="Q22" i="59"/>
  <c r="AB19" i="59" s="1"/>
  <c r="P22" i="59"/>
  <c r="O22" i="59"/>
  <c r="C23" i="59"/>
  <c r="C24" i="59" s="1"/>
  <c r="N22" i="59"/>
  <c r="B23" i="59" s="1"/>
  <c r="B24" i="59" s="1"/>
  <c r="B25" i="59" s="1"/>
  <c r="S25" i="59" s="1"/>
  <c r="D22" i="59"/>
  <c r="AA3" i="59"/>
  <c r="AA21" i="59"/>
  <c r="AB18" i="59"/>
  <c r="E23" i="59"/>
  <c r="E24" i="59" s="1"/>
  <c r="E25" i="59" s="1"/>
  <c r="U25" i="59" s="1"/>
  <c r="S45" i="59"/>
  <c r="E44" i="59"/>
  <c r="E45" i="59" s="1"/>
  <c r="U45" i="59" s="1"/>
  <c r="S61" i="59"/>
  <c r="AA32" i="59"/>
  <c r="V29" i="59"/>
  <c r="F36" i="59"/>
  <c r="F37" i="59" s="1"/>
  <c r="V37" i="59" s="1"/>
  <c r="F41" i="59"/>
  <c r="V41" i="59"/>
  <c r="V49" i="59"/>
  <c r="F52" i="59"/>
  <c r="F53" i="59" s="1"/>
  <c r="V53" i="59" s="1"/>
  <c r="D23" i="59"/>
  <c r="C44" i="59"/>
  <c r="C45" i="59" s="1"/>
  <c r="T45" i="59" s="1"/>
  <c r="D43" i="59"/>
  <c r="C48" i="59"/>
  <c r="D47" i="59"/>
  <c r="C52" i="59"/>
  <c r="D52" i="59" s="1"/>
  <c r="D51" i="59"/>
  <c r="C28" i="59"/>
  <c r="C29" i="59" s="1"/>
  <c r="D29" i="59" s="1"/>
  <c r="D27" i="59"/>
  <c r="B59" i="59"/>
  <c r="N59" i="59" s="1"/>
  <c r="Q60" i="59"/>
  <c r="T61" i="59"/>
  <c r="O61" i="59"/>
  <c r="D61" i="59"/>
  <c r="C60" i="59"/>
  <c r="D60" i="59" s="1"/>
  <c r="Q61" i="59"/>
  <c r="C64" i="59"/>
  <c r="C63" i="59" s="1"/>
  <c r="D63" i="59" s="1"/>
  <c r="D65" i="59"/>
  <c r="C68" i="59"/>
  <c r="E68" i="59"/>
  <c r="E67" i="59" s="1"/>
  <c r="D69" i="59"/>
  <c r="C72" i="59"/>
  <c r="E72" i="59"/>
  <c r="E71" i="59" s="1"/>
  <c r="D73" i="59"/>
  <c r="C76" i="59"/>
  <c r="D76" i="59" s="1"/>
  <c r="U16" i="4"/>
  <c r="S16" i="4"/>
  <c r="Q16" i="4"/>
  <c r="O16" i="4"/>
  <c r="M16" i="4"/>
  <c r="K16" i="4"/>
  <c r="D64" i="59"/>
  <c r="C59" i="59"/>
  <c r="O59" i="59" s="1"/>
  <c r="O60" i="59"/>
  <c r="N58" i="59"/>
  <c r="D28" i="59"/>
  <c r="C49" i="59"/>
  <c r="D49" i="59" s="1"/>
  <c r="D48" i="59"/>
  <c r="D36" i="59"/>
  <c r="C25" i="59"/>
  <c r="D25" i="59" s="1"/>
  <c r="D24" i="59"/>
  <c r="N16" i="4"/>
  <c r="D45" i="59"/>
  <c r="T2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C21" i="37"/>
  <c r="E77" i="37"/>
  <c r="F77" i="37"/>
  <c r="G77" i="37" s="1"/>
  <c r="D77" i="37"/>
  <c r="Q21" i="34"/>
  <c r="Z21" i="34" s="1"/>
  <c r="C21" i="34"/>
  <c r="D84" i="34"/>
  <c r="F21" i="34"/>
  <c r="AA21" i="34"/>
  <c r="Q21" i="33"/>
  <c r="Z21" i="33" s="1"/>
  <c r="C21" i="33"/>
  <c r="D83" i="33"/>
  <c r="Q21" i="21"/>
  <c r="Z21" i="21" s="1"/>
  <c r="D83" i="21"/>
  <c r="E83" i="21" s="1"/>
  <c r="F83" i="21" s="1"/>
  <c r="G83" i="21" s="1"/>
  <c r="F21" i="21"/>
  <c r="AA21" i="21" s="1"/>
  <c r="C21" i="21"/>
  <c r="Q27" i="40"/>
  <c r="Z27" i="40" s="1"/>
  <c r="D96" i="40"/>
  <c r="E96" i="40" s="1"/>
  <c r="F96" i="40" s="1"/>
  <c r="F27" i="40"/>
  <c r="S27" i="40" s="1"/>
  <c r="AA27" i="40"/>
  <c r="Z31" i="39"/>
  <c r="Q31" i="39"/>
  <c r="D105" i="39"/>
  <c r="E105" i="39"/>
  <c r="F31" i="39"/>
  <c r="AA31" i="39" s="1"/>
  <c r="G20" i="20"/>
  <c r="B85" i="46"/>
  <c r="C22" i="20"/>
  <c r="B74" i="46" s="1"/>
  <c r="B65" i="46"/>
  <c r="S21" i="34"/>
  <c r="C27" i="40"/>
  <c r="C31" i="39"/>
  <c r="B54" i="46"/>
  <c r="E66" i="36"/>
  <c r="H18" i="35"/>
  <c r="J18" i="35"/>
  <c r="H21" i="37"/>
  <c r="J21" i="37"/>
  <c r="E84" i="34"/>
  <c r="F84" i="34"/>
  <c r="G84" i="34" s="1"/>
  <c r="J21" i="34"/>
  <c r="H21" i="34"/>
  <c r="H21" i="21"/>
  <c r="J21" i="21"/>
  <c r="H27" i="40"/>
  <c r="F105" i="39"/>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s="1"/>
  <c r="M80" i="46"/>
  <c r="N80" i="46" s="1"/>
  <c r="K80" i="46"/>
  <c r="J80" i="46"/>
  <c r="M77" i="46"/>
  <c r="N77" i="46" s="1"/>
  <c r="K77" i="46"/>
  <c r="J77" i="46" s="1"/>
  <c r="M76" i="46"/>
  <c r="N76" i="46" s="1"/>
  <c r="D76" i="46"/>
  <c r="K76" i="46"/>
  <c r="J76" i="46" s="1"/>
  <c r="M75" i="46"/>
  <c r="N75" i="46"/>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c r="D63" i="46"/>
  <c r="M62" i="46"/>
  <c r="N62" i="46" s="1"/>
  <c r="K62" i="46"/>
  <c r="J62" i="46" s="1"/>
  <c r="D62" i="46"/>
  <c r="M61" i="46"/>
  <c r="N61" i="46" s="1"/>
  <c r="K61" i="46"/>
  <c r="J61" i="46"/>
  <c r="D61" i="46"/>
  <c r="M60" i="46"/>
  <c r="N60" i="46" s="1"/>
  <c r="K60" i="46"/>
  <c r="J60" i="46" s="1"/>
  <c r="D60" i="46"/>
  <c r="M59" i="46"/>
  <c r="N59" i="46"/>
  <c r="K59" i="46"/>
  <c r="J59" i="46"/>
  <c r="D59" i="46"/>
  <c r="M58" i="46"/>
  <c r="N58" i="46" s="1"/>
  <c r="M55" i="46"/>
  <c r="N55" i="46" s="1"/>
  <c r="K55" i="46"/>
  <c r="J55" i="46"/>
  <c r="M54" i="46"/>
  <c r="N54" i="46" s="1"/>
  <c r="K54" i="46"/>
  <c r="M53" i="46"/>
  <c r="N53" i="46"/>
  <c r="K53" i="46"/>
  <c r="J53" i="46"/>
  <c r="D53" i="46"/>
  <c r="M52" i="46"/>
  <c r="N52" i="46" s="1"/>
  <c r="K52" i="46"/>
  <c r="J52" i="46"/>
  <c r="D52" i="46"/>
  <c r="M51" i="46"/>
  <c r="N51" i="46"/>
  <c r="K51" i="46"/>
  <c r="J51" i="46" s="1"/>
  <c r="M50" i="46"/>
  <c r="N50" i="46"/>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71"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L88" i="3" s="1"/>
  <c r="AZ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AZ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C12" i="39" s="1"/>
  <c r="I19" i="4"/>
  <c r="H19" i="4"/>
  <c r="G19" i="4"/>
  <c r="F19" i="4"/>
  <c r="F8" i="1"/>
  <c r="AP8" i="1" s="1"/>
  <c r="E19" i="4"/>
  <c r="F9" i="1" s="1"/>
  <c r="B2" i="52"/>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7" i="9"/>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5" i="3" s="1"/>
  <c r="F29" i="6" s="1"/>
  <c r="BM17" i="3"/>
  <c r="BO14" i="3"/>
  <c r="BO15" i="3"/>
  <c r="BO16" i="3"/>
  <c r="BO17" i="3"/>
  <c r="BN14" i="3"/>
  <c r="BN15" i="3"/>
  <c r="BN16" i="3"/>
  <c r="BN5" i="3" s="1"/>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s="1"/>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c r="G126" i="39" s="1"/>
  <c r="H126" i="39" s="1"/>
  <c r="I126" i="39" s="1"/>
  <c r="J126" i="39"/>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c r="I124" i="39" s="1"/>
  <c r="J124" i="39" s="1"/>
  <c r="K124" i="39" s="1"/>
  <c r="L124" i="39"/>
  <c r="M124" i="39" s="1"/>
  <c r="B106" i="39"/>
  <c r="H33" i="39" s="1"/>
  <c r="D99" i="39"/>
  <c r="E99" i="39"/>
  <c r="F99" i="39" s="1"/>
  <c r="G99" i="39" s="1"/>
  <c r="D97" i="39"/>
  <c r="D95" i="39"/>
  <c r="E95" i="39" s="1"/>
  <c r="F95" i="39" s="1"/>
  <c r="G95" i="39" s="1"/>
  <c r="D93" i="39"/>
  <c r="E93" i="39" s="1"/>
  <c r="F93" i="39" s="1"/>
  <c r="G93" i="39" s="1"/>
  <c r="D91" i="39"/>
  <c r="E91" i="39" s="1"/>
  <c r="F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s="1"/>
  <c r="H36" i="37"/>
  <c r="D103" i="37"/>
  <c r="E103" i="37" s="1"/>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U24" i="36" s="1"/>
  <c r="J24" i="36"/>
  <c r="B71" i="36"/>
  <c r="D70" i="36"/>
  <c r="H22" i="36"/>
  <c r="AB22" i="36" s="1"/>
  <c r="D68" i="36"/>
  <c r="E68" i="36"/>
  <c r="D64" i="36"/>
  <c r="E64" i="36" s="1"/>
  <c r="F64" i="36" s="1"/>
  <c r="G64" i="36"/>
  <c r="J16" i="36"/>
  <c r="W16" i="36" s="1"/>
  <c r="D62" i="36"/>
  <c r="E62" i="36" s="1"/>
  <c r="B59" i="36"/>
  <c r="B57" i="36"/>
  <c r="B55" i="36"/>
  <c r="F54" i="36"/>
  <c r="G54" i="36" s="1"/>
  <c r="H54" i="36" s="1"/>
  <c r="I54" i="36" s="1"/>
  <c r="J10" i="36"/>
  <c r="W10" i="36"/>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F8" i="36"/>
  <c r="AA8" i="36"/>
  <c r="C7" i="36"/>
  <c r="D89" i="35"/>
  <c r="H30" i="35"/>
  <c r="U30"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c r="M84" i="35" s="1"/>
  <c r="D80" i="35"/>
  <c r="D72" i="35"/>
  <c r="D70" i="35"/>
  <c r="E70" i="35" s="1"/>
  <c r="F70" i="35" s="1"/>
  <c r="G70" i="35" s="1"/>
  <c r="D66" i="35"/>
  <c r="E66" i="35"/>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c r="J34" i="35"/>
  <c r="AC34" i="35" s="1"/>
  <c r="H34" i="35"/>
  <c r="AB34" i="35"/>
  <c r="F34" i="35"/>
  <c r="Q33" i="35"/>
  <c r="Z33" i="35"/>
  <c r="Q32" i="35"/>
  <c r="Z32" i="35" s="1"/>
  <c r="H32" i="35"/>
  <c r="AB32" i="35"/>
  <c r="F32" i="35"/>
  <c r="AA32" i="35" s="1"/>
  <c r="Q31" i="35"/>
  <c r="Z31" i="35"/>
  <c r="AC31" i="35"/>
  <c r="AB31" i="35"/>
  <c r="Q30" i="35"/>
  <c r="Z30" i="35"/>
  <c r="Q29" i="35"/>
  <c r="Z29" i="35" s="1"/>
  <c r="Q28" i="35"/>
  <c r="Z28" i="35"/>
  <c r="J28" i="35"/>
  <c r="H28" i="35"/>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F12" i="35"/>
  <c r="AA12" i="35"/>
  <c r="Q11" i="35"/>
  <c r="Z11" i="35" s="1"/>
  <c r="Q10" i="35"/>
  <c r="Z10" i="35"/>
  <c r="Q9" i="35"/>
  <c r="Z9" i="35" s="1"/>
  <c r="J8" i="35"/>
  <c r="H8" i="35"/>
  <c r="AB8" i="35" s="1"/>
  <c r="F8" i="35"/>
  <c r="AA8" i="35" s="1"/>
  <c r="C7" i="35"/>
  <c r="C48" i="35" s="1"/>
  <c r="D48" i="35" s="1"/>
  <c r="E48" i="35" s="1"/>
  <c r="F48" i="35" s="1"/>
  <c r="G48" i="35" s="1"/>
  <c r="H48" i="35" s="1"/>
  <c r="I48" i="35" s="1"/>
  <c r="J48" i="35" s="1"/>
  <c r="K48" i="35" s="1"/>
  <c r="D120" i="34"/>
  <c r="E120" i="34" s="1"/>
  <c r="F120" i="34" s="1"/>
  <c r="G120" i="34"/>
  <c r="H120" i="34" s="1"/>
  <c r="I120" i="34" s="1"/>
  <c r="J120" i="34" s="1"/>
  <c r="K120" i="34" s="1"/>
  <c r="L120" i="34" s="1"/>
  <c r="M120" i="34" s="1"/>
  <c r="D90" i="34"/>
  <c r="C15" i="34"/>
  <c r="F67" i="34"/>
  <c r="G67" i="34" s="1"/>
  <c r="H67" i="34" s="1"/>
  <c r="I67" i="34"/>
  <c r="H10" i="34"/>
  <c r="AB10" i="34" s="1"/>
  <c r="D126" i="34"/>
  <c r="E126" i="34"/>
  <c r="F126" i="34"/>
  <c r="G126" i="34" s="1"/>
  <c r="D124" i="34"/>
  <c r="E124" i="34"/>
  <c r="F124" i="34" s="1"/>
  <c r="G124" i="34" s="1"/>
  <c r="H124" i="34" s="1"/>
  <c r="I124" i="34" s="1"/>
  <c r="J124" i="34"/>
  <c r="K124" i="34" s="1"/>
  <c r="L124" i="34" s="1"/>
  <c r="M124" i="34" s="1"/>
  <c r="J43" i="34"/>
  <c r="D118" i="34"/>
  <c r="E118" i="34" s="1"/>
  <c r="F118" i="34"/>
  <c r="G118" i="34" s="1"/>
  <c r="H40" i="34"/>
  <c r="U40" i="34" s="1"/>
  <c r="D116" i="34"/>
  <c r="E116" i="34"/>
  <c r="F116" i="34" s="1"/>
  <c r="G116" i="34" s="1"/>
  <c r="H116" i="34" s="1"/>
  <c r="I116" i="34" s="1"/>
  <c r="J116" i="34" s="1"/>
  <c r="K116" i="34" s="1"/>
  <c r="L116" i="34" s="1"/>
  <c r="M116" i="34"/>
  <c r="F110" i="34"/>
  <c r="E110" i="34"/>
  <c r="D110" i="34"/>
  <c r="C110" i="34"/>
  <c r="D109" i="34"/>
  <c r="E109" i="34" s="1"/>
  <c r="F109" i="34" s="1"/>
  <c r="G109" i="34" s="1"/>
  <c r="H109" i="34" s="1"/>
  <c r="I109" i="34" s="1"/>
  <c r="J109" i="34"/>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W39" i="34" s="1"/>
  <c r="AC39" i="34"/>
  <c r="H39" i="34"/>
  <c r="U39" i="34" s="1"/>
  <c r="F39" i="34"/>
  <c r="Q38" i="34"/>
  <c r="Z38" i="34" s="1"/>
  <c r="Q37" i="34"/>
  <c r="Z37" i="34"/>
  <c r="Q36" i="34"/>
  <c r="Z36" i="34" s="1"/>
  <c r="Q35" i="34"/>
  <c r="Z35" i="34"/>
  <c r="Q34" i="34"/>
  <c r="Z34" i="34" s="1"/>
  <c r="J34" i="34"/>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C59" i="34" s="1"/>
  <c r="D121" i="33"/>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Q41" i="33"/>
  <c r="Z41" i="33" s="1"/>
  <c r="Q40" i="33"/>
  <c r="Z40" i="33"/>
  <c r="J40" i="33"/>
  <c r="AC40" i="33" s="1"/>
  <c r="H40" i="33"/>
  <c r="Q39" i="33"/>
  <c r="Z39" i="33" s="1"/>
  <c r="J39" i="33"/>
  <c r="AC39" i="33" s="1"/>
  <c r="Q38" i="33"/>
  <c r="Z38" i="33" s="1"/>
  <c r="J38" i="33"/>
  <c r="H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Q14" i="33"/>
  <c r="Z14" i="33"/>
  <c r="Q13" i="33"/>
  <c r="Z13" i="33" s="1"/>
  <c r="Q12" i="33"/>
  <c r="Z12" i="33"/>
  <c r="J12" i="33"/>
  <c r="W12" i="33" s="1"/>
  <c r="F12" i="33"/>
  <c r="Q11" i="33"/>
  <c r="Z11" i="33" s="1"/>
  <c r="Q10" i="33"/>
  <c r="Z10" i="33" s="1"/>
  <c r="Q9" i="33"/>
  <c r="Z9" i="33"/>
  <c r="J9" i="33"/>
  <c r="AC9" i="33" s="1"/>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3" i="11"/>
  <c r="E12" i="11"/>
  <c r="BB12" i="3"/>
  <c r="F9" i="12"/>
  <c r="D9" i="12"/>
  <c r="G9" i="12"/>
  <c r="K5" i="3"/>
  <c r="F20" i="6" s="1"/>
  <c r="E20" i="6" s="1"/>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c r="H571" i="3"/>
  <c r="G571" i="3" s="1"/>
  <c r="H572" i="3"/>
  <c r="F5" i="3"/>
  <c r="F34" i="21"/>
  <c r="AA34" i="21" s="1"/>
  <c r="H34" i="21"/>
  <c r="U34" i="21" s="1"/>
  <c r="H38" i="21"/>
  <c r="AB38" i="21" s="1"/>
  <c r="H43" i="21"/>
  <c r="AB43" i="21" s="1"/>
  <c r="F38" i="21"/>
  <c r="S38" i="21" s="1"/>
  <c r="F36" i="21"/>
  <c r="S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J12" i="21"/>
  <c r="H12" i="21"/>
  <c r="J26" i="21"/>
  <c r="W26" i="21"/>
  <c r="F26" i="21"/>
  <c r="AB41" i="21"/>
  <c r="AA41" i="21"/>
  <c r="W41" i="21"/>
  <c r="S10" i="39"/>
  <c r="U30" i="37"/>
  <c r="F103" i="37"/>
  <c r="F39" i="37"/>
  <c r="S39" i="37"/>
  <c r="F29" i="36"/>
  <c r="AA29" i="36" s="1"/>
  <c r="F16" i="36"/>
  <c r="AA16" i="36" s="1"/>
  <c r="U22" i="36"/>
  <c r="W23" i="36"/>
  <c r="W22" i="36"/>
  <c r="AC31" i="36"/>
  <c r="J33" i="36"/>
  <c r="U31" i="35"/>
  <c r="S31" i="35"/>
  <c r="W31" i="35"/>
  <c r="U34" i="35"/>
  <c r="F36" i="34"/>
  <c r="S36" i="34"/>
  <c r="W9" i="34"/>
  <c r="S34" i="34"/>
  <c r="H39" i="33"/>
  <c r="AB39" i="33" s="1"/>
  <c r="U33" i="33"/>
  <c r="S40" i="33"/>
  <c r="W33" i="33"/>
  <c r="H39" i="37"/>
  <c r="AB39" i="37"/>
  <c r="AB27" i="35"/>
  <c r="S10" i="40"/>
  <c r="W10" i="40"/>
  <c r="S11" i="40"/>
  <c r="U11" i="40"/>
  <c r="S36" i="40"/>
  <c r="U36" i="40"/>
  <c r="S40" i="39"/>
  <c r="S36" i="39"/>
  <c r="C29" i="39"/>
  <c r="C23" i="39"/>
  <c r="U36" i="39"/>
  <c r="S42" i="39"/>
  <c r="H32" i="33"/>
  <c r="AB32" i="33" s="1"/>
  <c r="F100" i="40"/>
  <c r="F86" i="40"/>
  <c r="J27" i="36"/>
  <c r="W27" i="36"/>
  <c r="J30" i="35"/>
  <c r="W30" i="35"/>
  <c r="F22" i="35"/>
  <c r="AA22" i="35" s="1"/>
  <c r="H10" i="35"/>
  <c r="U10" i="35"/>
  <c r="U29" i="36"/>
  <c r="E85" i="36"/>
  <c r="F85" i="36"/>
  <c r="G85" i="36" s="1"/>
  <c r="H85" i="36" s="1"/>
  <c r="I85" i="36" s="1"/>
  <c r="J85" i="36" s="1"/>
  <c r="K85" i="36" s="1"/>
  <c r="L85" i="36" s="1"/>
  <c r="M85" i="36" s="1"/>
  <c r="J29" i="36"/>
  <c r="AC29" i="36"/>
  <c r="F24" i="36"/>
  <c r="AA24" i="36" s="1"/>
  <c r="S10" i="36"/>
  <c r="H16" i="35"/>
  <c r="U16" i="35"/>
  <c r="H33" i="35"/>
  <c r="AB33" i="35" s="1"/>
  <c r="W8" i="35"/>
  <c r="AC8" i="35"/>
  <c r="F35" i="37"/>
  <c r="S35" i="37" s="1"/>
  <c r="E101" i="37"/>
  <c r="F101" i="37" s="1"/>
  <c r="G101" i="37" s="1"/>
  <c r="H101" i="37"/>
  <c r="I101" i="37" s="1"/>
  <c r="J101" i="37" s="1"/>
  <c r="K101" i="37" s="1"/>
  <c r="L101" i="37"/>
  <c r="M101" i="37" s="1"/>
  <c r="J34" i="37"/>
  <c r="W34" i="37"/>
  <c r="AA39" i="37"/>
  <c r="H43" i="34"/>
  <c r="U42" i="34"/>
  <c r="E114" i="34"/>
  <c r="H36" i="34"/>
  <c r="U36" i="34" s="1"/>
  <c r="F37" i="34"/>
  <c r="AA37" i="34"/>
  <c r="F33" i="34"/>
  <c r="S33" i="34" s="1"/>
  <c r="AA28" i="34"/>
  <c r="F19" i="34"/>
  <c r="AA19" i="34"/>
  <c r="J10" i="34"/>
  <c r="AC10" i="34" s="1"/>
  <c r="U9" i="34"/>
  <c r="W8" i="34"/>
  <c r="J28" i="34"/>
  <c r="W28" i="34" s="1"/>
  <c r="E113" i="33"/>
  <c r="F113" i="33" s="1"/>
  <c r="G113" i="33" s="1"/>
  <c r="H113" i="33" s="1"/>
  <c r="I113" i="33" s="1"/>
  <c r="J113" i="33" s="1"/>
  <c r="K113" i="33" s="1"/>
  <c r="L113" i="33" s="1"/>
  <c r="M113" i="33" s="1"/>
  <c r="W40" i="33"/>
  <c r="G86" i="40"/>
  <c r="AB30" i="36"/>
  <c r="H29" i="35"/>
  <c r="U34" i="37"/>
  <c r="S34" i="37"/>
  <c r="AA34" i="37"/>
  <c r="AC43" i="34"/>
  <c r="AB42" i="34"/>
  <c r="AB40" i="34"/>
  <c r="W36" i="34"/>
  <c r="J19" i="34"/>
  <c r="AC19" i="34"/>
  <c r="H37" i="33"/>
  <c r="AB37" i="33" s="1"/>
  <c r="W43" i="34"/>
  <c r="AC42" i="34"/>
  <c r="W42" i="34"/>
  <c r="AA42" i="34"/>
  <c r="S42" i="34"/>
  <c r="AC38" i="34"/>
  <c r="W38" i="34"/>
  <c r="AA38" i="34"/>
  <c r="S38" i="34"/>
  <c r="J37" i="33"/>
  <c r="W37" i="33" s="1"/>
  <c r="J44" i="34"/>
  <c r="AC44" i="34"/>
  <c r="F44" i="34"/>
  <c r="S44" i="34" s="1"/>
  <c r="J10" i="35"/>
  <c r="W10" i="35"/>
  <c r="AL5" i="3"/>
  <c r="BQ13" i="3"/>
  <c r="J14" i="21"/>
  <c r="AC14" i="21" s="1"/>
  <c r="F14" i="21"/>
  <c r="AA14" i="21"/>
  <c r="H14" i="21"/>
  <c r="U14" i="21" s="1"/>
  <c r="H28" i="21"/>
  <c r="AB28" i="21"/>
  <c r="F28" i="21"/>
  <c r="J28" i="21"/>
  <c r="AC28" i="21" s="1"/>
  <c r="H30" i="21"/>
  <c r="U30" i="21" s="1"/>
  <c r="F30" i="21"/>
  <c r="S30" i="21" s="1"/>
  <c r="J30" i="21"/>
  <c r="AC30" i="21" s="1"/>
  <c r="J44" i="21"/>
  <c r="AC44" i="21" s="1"/>
  <c r="H44" i="21"/>
  <c r="U44" i="21"/>
  <c r="F44" i="21"/>
  <c r="AA44" i="21" s="1"/>
  <c r="H46" i="21"/>
  <c r="U46" i="21" s="1"/>
  <c r="AB46" i="21"/>
  <c r="J46" i="21"/>
  <c r="W46" i="21" s="1"/>
  <c r="F46" i="21"/>
  <c r="S46" i="21" s="1"/>
  <c r="AA46" i="21"/>
  <c r="H28" i="33"/>
  <c r="U28" i="33" s="1"/>
  <c r="F28" i="33"/>
  <c r="AA28" i="33" s="1"/>
  <c r="J28" i="33"/>
  <c r="W28" i="33" s="1"/>
  <c r="F33" i="35"/>
  <c r="S33" i="35" s="1"/>
  <c r="J33" i="35"/>
  <c r="W33" i="35"/>
  <c r="F30" i="35"/>
  <c r="AA30" i="35" s="1"/>
  <c r="E89" i="35"/>
  <c r="F89" i="35"/>
  <c r="G89" i="35" s="1"/>
  <c r="H89" i="35" s="1"/>
  <c r="I89" i="35" s="1"/>
  <c r="J89" i="35"/>
  <c r="K89" i="35" s="1"/>
  <c r="L89" i="35" s="1"/>
  <c r="M89" i="35" s="1"/>
  <c r="H10" i="36"/>
  <c r="AB10" i="36" s="1"/>
  <c r="F28" i="36"/>
  <c r="S28" i="36"/>
  <c r="F27" i="36"/>
  <c r="S27" i="36" s="1"/>
  <c r="H13" i="21"/>
  <c r="U13" i="21"/>
  <c r="J13" i="21"/>
  <c r="AC13" i="21" s="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AA45" i="21"/>
  <c r="H45" i="21"/>
  <c r="U45" i="21" s="1"/>
  <c r="F13" i="33"/>
  <c r="S13" i="33" s="1"/>
  <c r="J29" i="33"/>
  <c r="W29" i="33" s="1"/>
  <c r="J31" i="33"/>
  <c r="AC31" i="33" s="1"/>
  <c r="H31" i="33"/>
  <c r="U31" i="33" s="1"/>
  <c r="J45" i="33"/>
  <c r="F45" i="33"/>
  <c r="S45" i="33"/>
  <c r="F11" i="35"/>
  <c r="S11" i="35" s="1"/>
  <c r="H28" i="36"/>
  <c r="U28" i="36"/>
  <c r="H32" i="36"/>
  <c r="AB32" i="36" s="1"/>
  <c r="J32" i="36"/>
  <c r="J11" i="36"/>
  <c r="W11" i="36"/>
  <c r="H13" i="36"/>
  <c r="AB13" i="36" s="1"/>
  <c r="J13" i="36"/>
  <c r="AC13" i="36" s="1"/>
  <c r="W13" i="36"/>
  <c r="F13" i="36"/>
  <c r="S13" i="36" s="1"/>
  <c r="E89" i="37"/>
  <c r="F89" i="37"/>
  <c r="G89" i="37" s="1"/>
  <c r="H89" i="37" s="1"/>
  <c r="I89" i="37" s="1"/>
  <c r="J89" i="37"/>
  <c r="K89" i="37" s="1"/>
  <c r="L89" i="37" s="1"/>
  <c r="M89" i="37" s="1"/>
  <c r="J29" i="37"/>
  <c r="F29" i="37"/>
  <c r="AA29" i="37"/>
  <c r="F105" i="37"/>
  <c r="G105" i="37" s="1"/>
  <c r="AB36" i="37"/>
  <c r="F107" i="37"/>
  <c r="J37" i="37"/>
  <c r="AC37" i="37"/>
  <c r="H37" i="37"/>
  <c r="U37" i="37" s="1"/>
  <c r="H40" i="37"/>
  <c r="AB40" i="37" s="1"/>
  <c r="U40" i="37"/>
  <c r="J40" i="37"/>
  <c r="F40" i="37"/>
  <c r="AA40" i="37"/>
  <c r="H14" i="33"/>
  <c r="U14" i="33" s="1"/>
  <c r="F14" i="33"/>
  <c r="AA14" i="33" s="1"/>
  <c r="J14" i="33"/>
  <c r="AC14" i="33" s="1"/>
  <c r="H30" i="33"/>
  <c r="AB30" i="33" s="1"/>
  <c r="F30" i="33"/>
  <c r="J30" i="33"/>
  <c r="H44" i="33"/>
  <c r="U44" i="33"/>
  <c r="J44" i="33"/>
  <c r="AC44" i="33" s="1"/>
  <c r="F44" i="33"/>
  <c r="S44" i="33"/>
  <c r="J46" i="33"/>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H47" i="34"/>
  <c r="U47" i="34"/>
  <c r="F47" i="34"/>
  <c r="AA47" i="34" s="1"/>
  <c r="J47" i="34"/>
  <c r="AC47" i="34"/>
  <c r="F13" i="35"/>
  <c r="S13" i="35" s="1"/>
  <c r="J13" i="35"/>
  <c r="AC13" i="35"/>
  <c r="H13" i="35"/>
  <c r="U13" i="35" s="1"/>
  <c r="J35" i="35"/>
  <c r="F35" i="35"/>
  <c r="S35" i="35"/>
  <c r="H35" i="35"/>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F14" i="37"/>
  <c r="AA14" i="37"/>
  <c r="F27" i="37"/>
  <c r="J14" i="37"/>
  <c r="W14" i="37"/>
  <c r="J27" i="37"/>
  <c r="W27" i="37" s="1"/>
  <c r="AB13" i="35"/>
  <c r="J36" i="37"/>
  <c r="AC36" i="37"/>
  <c r="AB28" i="36"/>
  <c r="AB31" i="21"/>
  <c r="AB13" i="21"/>
  <c r="AB30" i="21"/>
  <c r="AB14" i="21"/>
  <c r="W14" i="21"/>
  <c r="W31" i="34"/>
  <c r="S46" i="33"/>
  <c r="U36" i="37"/>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BL533" i="3"/>
  <c r="BL525" i="3"/>
  <c r="AZ525" i="3" s="1"/>
  <c r="G518" i="3"/>
  <c r="G514" i="3"/>
  <c r="G510" i="3"/>
  <c r="BL503" i="3"/>
  <c r="AZ503" i="3" s="1"/>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BA487" i="3"/>
  <c r="BA19" i="3"/>
  <c r="BA572" i="3"/>
  <c r="BA566" i="3"/>
  <c r="BA562" i="3"/>
  <c r="BA560" i="3"/>
  <c r="BA558" i="3"/>
  <c r="AZ558" i="3" s="1"/>
  <c r="BA556" i="3"/>
  <c r="BA554" i="3"/>
  <c r="BA550" i="3"/>
  <c r="AZ550" i="3"/>
  <c r="BA546" i="3"/>
  <c r="BA544" i="3"/>
  <c r="BA540" i="3"/>
  <c r="BA536" i="3"/>
  <c r="AZ536" i="3" s="1"/>
  <c r="BA532" i="3"/>
  <c r="BA528" i="3"/>
  <c r="BA524" i="3"/>
  <c r="BA520" i="3"/>
  <c r="AZ520" i="3" s="1"/>
  <c r="BA516" i="3"/>
  <c r="BA512" i="3"/>
  <c r="BA508" i="3"/>
  <c r="BA502" i="3"/>
  <c r="AZ502" i="3" s="1"/>
  <c r="BA498" i="3"/>
  <c r="BA492" i="3"/>
  <c r="BA488" i="3"/>
  <c r="BA484" i="3"/>
  <c r="BA20" i="3"/>
  <c r="G566" i="3"/>
  <c r="G562" i="3"/>
  <c r="G560" i="3"/>
  <c r="G558" i="3"/>
  <c r="G556" i="3"/>
  <c r="G554" i="3"/>
  <c r="G550" i="3"/>
  <c r="G546" i="3"/>
  <c r="BL543" i="3"/>
  <c r="AZ543" i="3"/>
  <c r="BA542" i="3"/>
  <c r="AC542" i="3"/>
  <c r="G542" i="3"/>
  <c r="BQ542" i="3"/>
  <c r="BL542" i="3" s="1"/>
  <c r="BQ568" i="3"/>
  <c r="BQ566" i="3"/>
  <c r="BQ564" i="3"/>
  <c r="BL564" i="3" s="1"/>
  <c r="BQ562" i="3"/>
  <c r="BL562" i="3"/>
  <c r="AZ562" i="3" s="1"/>
  <c r="BQ560" i="3"/>
  <c r="BL560" i="3"/>
  <c r="BQ558" i="3"/>
  <c r="BL558" i="3" s="1"/>
  <c r="BQ556" i="3"/>
  <c r="BL556" i="3"/>
  <c r="AZ556" i="3"/>
  <c r="BQ554" i="3"/>
  <c r="BQ552" i="3"/>
  <c r="BL552" i="3"/>
  <c r="BQ550" i="3"/>
  <c r="BL550" i="3" s="1"/>
  <c r="BQ548" i="3"/>
  <c r="BQ546" i="3"/>
  <c r="BL546" i="3"/>
  <c r="AZ546" i="3" s="1"/>
  <c r="BQ544" i="3"/>
  <c r="BL544" i="3" s="1"/>
  <c r="AZ544" i="3" s="1"/>
  <c r="G544" i="3"/>
  <c r="G538" i="3"/>
  <c r="G534" i="3"/>
  <c r="G530" i="3"/>
  <c r="G526" i="3"/>
  <c r="G522" i="3"/>
  <c r="BQ540" i="3"/>
  <c r="BL540" i="3"/>
  <c r="BQ538" i="3"/>
  <c r="BL538" i="3" s="1"/>
  <c r="AZ538" i="3" s="1"/>
  <c r="BQ536" i="3"/>
  <c r="BQ534" i="3"/>
  <c r="BL534" i="3"/>
  <c r="BQ532" i="3"/>
  <c r="BL532" i="3" s="1"/>
  <c r="AZ532" i="3" s="1"/>
  <c r="BQ530" i="3"/>
  <c r="BQ528" i="3"/>
  <c r="BQ526" i="3"/>
  <c r="BL526" i="3" s="1"/>
  <c r="BQ524" i="3"/>
  <c r="BL524" i="3"/>
  <c r="BQ522" i="3"/>
  <c r="BQ520" i="3"/>
  <c r="BL520" i="3"/>
  <c r="BQ518" i="3"/>
  <c r="BQ516" i="3"/>
  <c r="BL516" i="3" s="1"/>
  <c r="BQ514" i="3"/>
  <c r="BL514" i="3"/>
  <c r="AZ514" i="3" s="1"/>
  <c r="BQ512" i="3"/>
  <c r="BQ510" i="3"/>
  <c r="BL510" i="3"/>
  <c r="BQ508" i="3"/>
  <c r="BL508" i="3" s="1"/>
  <c r="AC506" i="3"/>
  <c r="G506" i="3"/>
  <c r="BQ506" i="3"/>
  <c r="BL506" i="3" s="1"/>
  <c r="AZ506" i="3" s="1"/>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s="1"/>
  <c r="G125" i="33" s="1"/>
  <c r="H43" i="33"/>
  <c r="U43" i="33" s="1"/>
  <c r="H17" i="37"/>
  <c r="U17" i="37" s="1"/>
  <c r="F23" i="37"/>
  <c r="S23" i="37"/>
  <c r="F79" i="37"/>
  <c r="G79" i="37" s="1"/>
  <c r="F39" i="33"/>
  <c r="AA39" i="33" s="1"/>
  <c r="F42" i="33"/>
  <c r="S42" i="33" s="1"/>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J43" i="33"/>
  <c r="AC43" i="33" s="1"/>
  <c r="J23" i="37"/>
  <c r="W23" i="37"/>
  <c r="F17" i="37"/>
  <c r="AA17" i="37" s="1"/>
  <c r="AC12" i="35"/>
  <c r="W23" i="35"/>
  <c r="AC23" i="37"/>
  <c r="U39" i="37"/>
  <c r="AC8" i="37"/>
  <c r="S25" i="37"/>
  <c r="AC36" i="34"/>
  <c r="AB8" i="34"/>
  <c r="AA13" i="33"/>
  <c r="AA36" i="21"/>
  <c r="F43" i="33"/>
  <c r="AA43" i="33" s="1"/>
  <c r="AA23" i="37"/>
  <c r="S10" i="35"/>
  <c r="AB44" i="33"/>
  <c r="G107" i="37"/>
  <c r="H107" i="37" s="1"/>
  <c r="I107" i="37" s="1"/>
  <c r="J107" i="37"/>
  <c r="K107" i="37" s="1"/>
  <c r="L107" i="37" s="1"/>
  <c r="M107" i="37" s="1"/>
  <c r="AA9" i="21"/>
  <c r="H19" i="34"/>
  <c r="AB19" i="34"/>
  <c r="J10" i="37"/>
  <c r="W10" i="37" s="1"/>
  <c r="J9" i="37"/>
  <c r="W9" i="37" s="1"/>
  <c r="H9" i="37"/>
  <c r="U9" i="37"/>
  <c r="F9" i="37"/>
  <c r="S9" i="37" s="1"/>
  <c r="F11" i="37"/>
  <c r="S11" i="37"/>
  <c r="J12" i="37"/>
  <c r="AC12" i="37" s="1"/>
  <c r="H12" i="37"/>
  <c r="AB12" i="37"/>
  <c r="F12" i="37"/>
  <c r="AA12" i="37" s="1"/>
  <c r="H15" i="37"/>
  <c r="AB15" i="37" s="1"/>
  <c r="U15" i="37"/>
  <c r="E94" i="37"/>
  <c r="F31" i="37"/>
  <c r="S31" i="37"/>
  <c r="F94" i="37"/>
  <c r="G94" i="37" s="1"/>
  <c r="H94" i="37" s="1"/>
  <c r="I94" i="37" s="1"/>
  <c r="J94" i="37"/>
  <c r="K94" i="37" s="1"/>
  <c r="L94" i="37" s="1"/>
  <c r="M94" i="37" s="1"/>
  <c r="H31" i="37"/>
  <c r="AB31" i="37" s="1"/>
  <c r="J15" i="37"/>
  <c r="W15" i="37"/>
  <c r="U12" i="37"/>
  <c r="J11" i="37"/>
  <c r="W11" i="37"/>
  <c r="E90" i="40"/>
  <c r="F90" i="40" s="1"/>
  <c r="G90" i="40" s="1"/>
  <c r="F21" i="40"/>
  <c r="S21" i="40"/>
  <c r="W36" i="40"/>
  <c r="U40" i="39"/>
  <c r="J21" i="40"/>
  <c r="AC21" i="40"/>
  <c r="S27" i="31"/>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s="1"/>
  <c r="BA303" i="3"/>
  <c r="BL303" i="3"/>
  <c r="G304" i="3"/>
  <c r="BA305" i="3"/>
  <c r="AZ305" i="3" s="1"/>
  <c r="G321" i="3"/>
  <c r="BL322" i="3"/>
  <c r="G323" i="3"/>
  <c r="BL324" i="3"/>
  <c r="BA326" i="3"/>
  <c r="AZ326" i="3"/>
  <c r="BA327" i="3"/>
  <c r="BL327" i="3"/>
  <c r="AZ327" i="3"/>
  <c r="G328" i="3"/>
  <c r="BA329" i="3"/>
  <c r="AZ329" i="3" s="1"/>
  <c r="G337" i="3"/>
  <c r="BL338" i="3"/>
  <c r="G339" i="3"/>
  <c r="BL340" i="3"/>
  <c r="BA342" i="3"/>
  <c r="AZ342" i="3" s="1"/>
  <c r="BA343" i="3"/>
  <c r="BL343" i="3"/>
  <c r="AZ343" i="3"/>
  <c r="G344" i="3"/>
  <c r="BA345" i="3"/>
  <c r="AZ345" i="3" s="1"/>
  <c r="G353" i="3"/>
  <c r="BL354" i="3"/>
  <c r="AZ354" i="3" s="1"/>
  <c r="G355" i="3"/>
  <c r="BL356" i="3"/>
  <c r="G357" i="3"/>
  <c r="BL358" i="3"/>
  <c r="AZ358" i="3" s="1"/>
  <c r="G359" i="3"/>
  <c r="BA360" i="3"/>
  <c r="AZ360" i="3"/>
  <c r="BA361" i="3"/>
  <c r="AZ361" i="3" s="1"/>
  <c r="BL361" i="3"/>
  <c r="G362" i="3"/>
  <c r="BA363" i="3"/>
  <c r="AZ363" i="3" s="1"/>
  <c r="G371" i="3"/>
  <c r="BL372" i="3"/>
  <c r="G373" i="3"/>
  <c r="BL374" i="3"/>
  <c r="BA376" i="3"/>
  <c r="AZ376" i="3" s="1"/>
  <c r="BA377" i="3"/>
  <c r="AZ377" i="3"/>
  <c r="BL377" i="3"/>
  <c r="G378" i="3"/>
  <c r="BA379" i="3"/>
  <c r="BA114" i="3"/>
  <c r="AZ114" i="3" s="1"/>
  <c r="BL115" i="3"/>
  <c r="AZ115" i="3"/>
  <c r="G116" i="3"/>
  <c r="BA118" i="3"/>
  <c r="AZ118" i="3" s="1"/>
  <c r="BL119" i="3"/>
  <c r="AZ119" i="3"/>
  <c r="G120" i="3"/>
  <c r="BA122" i="3"/>
  <c r="AZ122" i="3"/>
  <c r="BL123" i="3"/>
  <c r="AZ123" i="3" s="1"/>
  <c r="G124" i="3"/>
  <c r="BA126" i="3"/>
  <c r="AZ126" i="3"/>
  <c r="BL127" i="3"/>
  <c r="G128" i="3"/>
  <c r="BA130" i="3"/>
  <c r="AZ130" i="3"/>
  <c r="BL131" i="3"/>
  <c r="AZ131" i="3" s="1"/>
  <c r="G132" i="3"/>
  <c r="BA134" i="3"/>
  <c r="AZ134" i="3" s="1"/>
  <c r="BL135" i="3"/>
  <c r="AZ135" i="3"/>
  <c r="G136" i="3"/>
  <c r="BA138" i="3"/>
  <c r="AZ138" i="3" s="1"/>
  <c r="BL139" i="3"/>
  <c r="AZ139" i="3"/>
  <c r="G140" i="3"/>
  <c r="BA142" i="3"/>
  <c r="AZ142" i="3"/>
  <c r="BL143" i="3"/>
  <c r="AZ143" i="3" s="1"/>
  <c r="G144" i="3"/>
  <c r="BA146" i="3"/>
  <c r="AZ146" i="3"/>
  <c r="BL147" i="3"/>
  <c r="AZ147" i="3" s="1"/>
  <c r="G148" i="3"/>
  <c r="BA150" i="3"/>
  <c r="AZ150" i="3"/>
  <c r="BL151" i="3"/>
  <c r="AZ151" i="3" s="1"/>
  <c r="BA153" i="3"/>
  <c r="AZ153" i="3"/>
  <c r="BL154" i="3"/>
  <c r="G155" i="3"/>
  <c r="BA157" i="3"/>
  <c r="AZ157" i="3"/>
  <c r="BL158" i="3"/>
  <c r="AZ158" i="3" s="1"/>
  <c r="G159" i="3"/>
  <c r="BA161" i="3"/>
  <c r="AZ161" i="3"/>
  <c r="BL162" i="3"/>
  <c r="G163" i="3"/>
  <c r="BA165" i="3"/>
  <c r="AZ165" i="3"/>
  <c r="BL166" i="3"/>
  <c r="G167" i="3"/>
  <c r="BA169" i="3"/>
  <c r="AZ169" i="3"/>
  <c r="BL170" i="3"/>
  <c r="G171" i="3"/>
  <c r="BA173" i="3"/>
  <c r="AZ173" i="3"/>
  <c r="BL174" i="3"/>
  <c r="AZ174" i="3" s="1"/>
  <c r="G175" i="3"/>
  <c r="BA178" i="3"/>
  <c r="AZ178" i="3"/>
  <c r="BL179" i="3"/>
  <c r="G180" i="3"/>
  <c r="AZ23" i="3"/>
  <c r="AZ27" i="3"/>
  <c r="AZ35" i="3"/>
  <c r="AZ39" i="3"/>
  <c r="AZ43" i="3"/>
  <c r="AZ47" i="3"/>
  <c r="AZ51" i="3"/>
  <c r="G537" i="3"/>
  <c r="BL181" i="3"/>
  <c r="AZ181" i="3"/>
  <c r="G182" i="3"/>
  <c r="BA184" i="3"/>
  <c r="AZ184" i="3" s="1"/>
  <c r="BL185" i="3"/>
  <c r="G186" i="3"/>
  <c r="BA188" i="3"/>
  <c r="AZ188" i="3" s="1"/>
  <c r="BL189" i="3"/>
  <c r="AZ189" i="3"/>
  <c r="G190" i="3"/>
  <c r="BA192" i="3"/>
  <c r="AZ192" i="3"/>
  <c r="BL193" i="3"/>
  <c r="AZ193" i="3" s="1"/>
  <c r="G194" i="3"/>
  <c r="BA196" i="3"/>
  <c r="AZ196" i="3"/>
  <c r="BL197" i="3"/>
  <c r="AZ197" i="3" s="1"/>
  <c r="G198" i="3"/>
  <c r="BA200" i="3"/>
  <c r="AZ200" i="3" s="1"/>
  <c r="BL201" i="3"/>
  <c r="AZ70" i="3"/>
  <c r="AZ74" i="3"/>
  <c r="AZ78" i="3"/>
  <c r="AZ185" i="3"/>
  <c r="AZ201" i="3"/>
  <c r="AZ90" i="3"/>
  <c r="AZ98" i="3"/>
  <c r="AZ102" i="3"/>
  <c r="AZ106" i="3"/>
  <c r="AZ110" i="3"/>
  <c r="G491" i="3"/>
  <c r="BA298" i="3"/>
  <c r="AZ298" i="3"/>
  <c r="BA299" i="3"/>
  <c r="BL299" i="3"/>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BA359" i="3"/>
  <c r="BL359" i="3"/>
  <c r="G360" i="3"/>
  <c r="G361" i="3"/>
  <c r="BL362" i="3"/>
  <c r="BA364" i="3"/>
  <c r="AZ364" i="3" s="1"/>
  <c r="BA365" i="3"/>
  <c r="AZ365" i="3"/>
  <c r="BL365" i="3"/>
  <c r="G366" i="3"/>
  <c r="G369" i="3"/>
  <c r="BL370" i="3"/>
  <c r="BA372" i="3"/>
  <c r="AZ372" i="3"/>
  <c r="BA373" i="3"/>
  <c r="AZ373" i="3" s="1"/>
  <c r="BL373" i="3"/>
  <c r="G374" i="3"/>
  <c r="G377" i="3"/>
  <c r="BL378" i="3"/>
  <c r="BA380" i="3"/>
  <c r="AZ380" i="3"/>
  <c r="BA381" i="3"/>
  <c r="AZ381" i="3" s="1"/>
  <c r="BL381" i="3"/>
  <c r="G382" i="3"/>
  <c r="G385" i="3"/>
  <c r="AZ154" i="3"/>
  <c r="AZ162" i="3"/>
  <c r="AZ166"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AZ336" i="3"/>
  <c r="BL337" i="3"/>
  <c r="AZ337" i="3" s="1"/>
  <c r="G338" i="3"/>
  <c r="BA340" i="3"/>
  <c r="AZ340" i="3"/>
  <c r="BL341" i="3"/>
  <c r="AZ341" i="3" s="1"/>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33" i="3"/>
  <c r="AZ237" i="3"/>
  <c r="AZ309" i="3"/>
  <c r="AZ325" i="3"/>
  <c r="AZ333" i="3"/>
  <c r="AZ349" i="3"/>
  <c r="AZ353" i="3"/>
  <c r="AZ367" i="3"/>
  <c r="G368" i="3"/>
  <c r="BA370" i="3"/>
  <c r="AZ370" i="3" s="1"/>
  <c r="BL371" i="3"/>
  <c r="AZ371" i="3"/>
  <c r="G372" i="3"/>
  <c r="BA374" i="3"/>
  <c r="AZ374" i="3" s="1"/>
  <c r="BL375" i="3"/>
  <c r="AZ375" i="3" s="1"/>
  <c r="G376" i="3"/>
  <c r="BA378" i="3"/>
  <c r="AZ378" i="3" s="1"/>
  <c r="BL379" i="3"/>
  <c r="AZ379" i="3"/>
  <c r="G380" i="3"/>
  <c r="BA382" i="3"/>
  <c r="AZ382" i="3"/>
  <c r="BL383" i="3"/>
  <c r="AZ383" i="3" s="1"/>
  <c r="G384" i="3"/>
  <c r="AZ253" i="3"/>
  <c r="AZ257" i="3"/>
  <c r="AZ261" i="3"/>
  <c r="AZ265" i="3"/>
  <c r="AZ270" i="3"/>
  <c r="AZ274" i="3"/>
  <c r="AZ278" i="3"/>
  <c r="AZ282" i="3"/>
  <c r="AZ286" i="3"/>
  <c r="AZ290" i="3"/>
  <c r="AZ295" i="3"/>
  <c r="AZ303" i="3"/>
  <c r="AZ315" i="3"/>
  <c r="AZ319" i="3"/>
  <c r="AZ335" i="3"/>
  <c r="AZ339" i="3"/>
  <c r="AZ347" i="3"/>
  <c r="AZ351" i="3"/>
  <c r="AZ369" i="3"/>
  <c r="AZ385" i="3"/>
  <c r="AZ390"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U43" i="21"/>
  <c r="AA13" i="40"/>
  <c r="E78" i="40"/>
  <c r="F78" i="40" s="1"/>
  <c r="G78" i="40" s="1"/>
  <c r="H78" i="40" s="1"/>
  <c r="I78" i="40" s="1"/>
  <c r="J78" i="40" s="1"/>
  <c r="K78" i="40" s="1"/>
  <c r="L78" i="40" s="1"/>
  <c r="M78" i="40" s="1"/>
  <c r="BH5" i="3"/>
  <c r="R16" i="4"/>
  <c r="P16" i="4"/>
  <c r="D3" i="35"/>
  <c r="G4" i="4"/>
  <c r="S37" i="34"/>
  <c r="J16" i="35"/>
  <c r="W16" i="35"/>
  <c r="AC26" i="36"/>
  <c r="H11" i="37"/>
  <c r="AB11" i="37" s="1"/>
  <c r="W37" i="37"/>
  <c r="AA36" i="37"/>
  <c r="AB17" i="37"/>
  <c r="AZ516" i="3"/>
  <c r="AZ524" i="3"/>
  <c r="AC29" i="33"/>
  <c r="AA45" i="33"/>
  <c r="AC11" i="36"/>
  <c r="AC10" i="36"/>
  <c r="AB45" i="34"/>
  <c r="AC14" i="37"/>
  <c r="W44" i="33"/>
  <c r="AC30" i="33"/>
  <c r="W30" i="33"/>
  <c r="W32" i="36"/>
  <c r="AC32" i="36"/>
  <c r="AB28" i="33"/>
  <c r="J33" i="34"/>
  <c r="AC33" i="34"/>
  <c r="AB36" i="34"/>
  <c r="J40" i="34"/>
  <c r="W40" i="34" s="1"/>
  <c r="F16" i="35"/>
  <c r="S16" i="35" s="1"/>
  <c r="AA16" i="35"/>
  <c r="S24" i="36"/>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AB26" i="21"/>
  <c r="U26" i="21"/>
  <c r="F40" i="21"/>
  <c r="S40" i="21" s="1"/>
  <c r="H40" i="21"/>
  <c r="AB40" i="21" s="1"/>
  <c r="E119" i="21"/>
  <c r="F119" i="21" s="1"/>
  <c r="G119" i="21" s="1"/>
  <c r="H119" i="21" s="1"/>
  <c r="I119" i="21" s="1"/>
  <c r="J119" i="21" s="1"/>
  <c r="K119" i="21" s="1"/>
  <c r="L119" i="21" s="1"/>
  <c r="M119" i="21" s="1"/>
  <c r="S8" i="33"/>
  <c r="H66" i="33"/>
  <c r="F10" i="33"/>
  <c r="AA10" i="33" s="1"/>
  <c r="F11" i="33"/>
  <c r="S11"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H32" i="37"/>
  <c r="AB32" i="37"/>
  <c r="F19" i="39"/>
  <c r="S19" i="39" s="1"/>
  <c r="H19" i="39"/>
  <c r="J19" i="39"/>
  <c r="W19" i="39"/>
  <c r="F43" i="39"/>
  <c r="S43" i="39" s="1"/>
  <c r="H43" i="39"/>
  <c r="U43" i="39" s="1"/>
  <c r="J43" i="39"/>
  <c r="W43" i="39" s="1"/>
  <c r="F99" i="37"/>
  <c r="G99" i="37" s="1"/>
  <c r="H99" i="37" s="1"/>
  <c r="I99" i="37" s="1"/>
  <c r="J99" i="37" s="1"/>
  <c r="K99" i="37" s="1"/>
  <c r="L99" i="37" s="1"/>
  <c r="M99" i="37" s="1"/>
  <c r="U31" i="34"/>
  <c r="AC40" i="37"/>
  <c r="W40" i="37"/>
  <c r="AC45" i="21"/>
  <c r="S28" i="33"/>
  <c r="S14" i="21"/>
  <c r="AA44" i="34"/>
  <c r="AB29" i="35"/>
  <c r="U29" i="35"/>
  <c r="U43" i="34"/>
  <c r="AB43" i="34"/>
  <c r="AC34" i="37"/>
  <c r="AA35" i="37"/>
  <c r="AB10" i="35"/>
  <c r="U38" i="21"/>
  <c r="AB34" i="21"/>
  <c r="BL571" i="3"/>
  <c r="BA571" i="3"/>
  <c r="BL570" i="3"/>
  <c r="BE5" i="3"/>
  <c r="AB40" i="33"/>
  <c r="U40" i="33"/>
  <c r="AA35" i="34"/>
  <c r="S35" i="34"/>
  <c r="E90" i="34"/>
  <c r="H27" i="34"/>
  <c r="AB27" i="34"/>
  <c r="U8" i="35"/>
  <c r="J14" i="35"/>
  <c r="AC14" i="35" s="1"/>
  <c r="F14" i="35"/>
  <c r="S14" i="35" s="1"/>
  <c r="H14" i="35"/>
  <c r="U14" i="35" s="1"/>
  <c r="E80" i="35"/>
  <c r="E94" i="35"/>
  <c r="F94" i="35"/>
  <c r="G94" i="35" s="1"/>
  <c r="H94" i="35" s="1"/>
  <c r="I94" i="35" s="1"/>
  <c r="J94" i="35" s="1"/>
  <c r="K94" i="35" s="1"/>
  <c r="L94" i="35" s="1"/>
  <c r="M94" i="35" s="1"/>
  <c r="J32" i="35"/>
  <c r="AC32" i="35"/>
  <c r="H11" i="36"/>
  <c r="AB11" i="36"/>
  <c r="F11" i="36"/>
  <c r="S11" i="36"/>
  <c r="AC16" i="36"/>
  <c r="F26" i="36"/>
  <c r="S26" i="36" s="1"/>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U21" i="39" s="1"/>
  <c r="J21" i="39"/>
  <c r="W21" i="39"/>
  <c r="F33" i="39"/>
  <c r="AA33" i="39" s="1"/>
  <c r="E128" i="39"/>
  <c r="F46" i="39"/>
  <c r="S46" i="39"/>
  <c r="H46" i="39"/>
  <c r="U46" i="39"/>
  <c r="J46" i="39"/>
  <c r="W46" i="39"/>
  <c r="E103" i="39"/>
  <c r="F103" i="39"/>
  <c r="F29" i="39" s="1"/>
  <c r="AA29" i="39" s="1"/>
  <c r="G103" i="39"/>
  <c r="F34" i="39"/>
  <c r="AA34" i="39"/>
  <c r="H34" i="39"/>
  <c r="AB34" i="39"/>
  <c r="J34" i="39"/>
  <c r="AC34" i="39" s="1"/>
  <c r="F39" i="39"/>
  <c r="AA39" i="39" s="1"/>
  <c r="H39" i="39"/>
  <c r="AB39" i="39"/>
  <c r="J39" i="39"/>
  <c r="J29" i="35"/>
  <c r="AC29" i="35" s="1"/>
  <c r="F29" i="35"/>
  <c r="S29" i="35"/>
  <c r="W30" i="36"/>
  <c r="AC30" i="36"/>
  <c r="F37" i="39"/>
  <c r="S37" i="39" s="1"/>
  <c r="H37" i="39"/>
  <c r="U37" i="39" s="1"/>
  <c r="J37" i="39"/>
  <c r="W37" i="39" s="1"/>
  <c r="BL568" i="3"/>
  <c r="BA568" i="3"/>
  <c r="AZ568" i="3"/>
  <c r="BL567" i="3"/>
  <c r="AZ567" i="3" s="1"/>
  <c r="BA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BA535" i="3"/>
  <c r="AZ535" i="3" s="1"/>
  <c r="BA534" i="3"/>
  <c r="AZ534" i="3"/>
  <c r="BA533" i="3"/>
  <c r="AZ533" i="3" s="1"/>
  <c r="BL531" i="3"/>
  <c r="AZ531" i="3"/>
  <c r="BL530" i="3"/>
  <c r="AZ530" i="3" s="1"/>
  <c r="BA530" i="3"/>
  <c r="BL529" i="3"/>
  <c r="BA529" i="3"/>
  <c r="AZ529" i="3" s="1"/>
  <c r="BL528" i="3"/>
  <c r="AZ528" i="3" s="1"/>
  <c r="BA527" i="3"/>
  <c r="AZ527" i="3"/>
  <c r="BA526" i="3"/>
  <c r="AZ526" i="3" s="1"/>
  <c r="BA525" i="3"/>
  <c r="BL523" i="3"/>
  <c r="AZ523" i="3" s="1"/>
  <c r="BA523" i="3"/>
  <c r="BL522" i="3"/>
  <c r="BA522" i="3"/>
  <c r="AZ522" i="3" s="1"/>
  <c r="BL521" i="3"/>
  <c r="AZ521" i="3"/>
  <c r="BA519" i="3"/>
  <c r="AZ519" i="3" s="1"/>
  <c r="BL518" i="3"/>
  <c r="BA518" i="3"/>
  <c r="AZ518" i="3"/>
  <c r="BL517" i="3"/>
  <c r="BA517" i="3"/>
  <c r="AZ517" i="3"/>
  <c r="BL515" i="3"/>
  <c r="BA515" i="3"/>
  <c r="BA514" i="3"/>
  <c r="BL513" i="3"/>
  <c r="AZ513" i="3" s="1"/>
  <c r="BA513" i="3"/>
  <c r="BL512" i="3"/>
  <c r="AZ512" i="3"/>
  <c r="BA511" i="3"/>
  <c r="AZ511" i="3"/>
  <c r="BA510" i="3"/>
  <c r="AZ510" i="3"/>
  <c r="BL509" i="3"/>
  <c r="AZ509" i="3"/>
  <c r="BL507" i="3"/>
  <c r="BA507" i="3"/>
  <c r="AZ507" i="3" s="1"/>
  <c r="BA506" i="3"/>
  <c r="BL505" i="3"/>
  <c r="AZ505" i="3"/>
  <c r="BL504" i="3"/>
  <c r="BA504" i="3"/>
  <c r="AZ504" i="3" s="1"/>
  <c r="BA503" i="3"/>
  <c r="BA500" i="3"/>
  <c r="AZ500" i="3"/>
  <c r="BL499" i="3"/>
  <c r="BA499" i="3"/>
  <c r="AZ499" i="3"/>
  <c r="BL498" i="3"/>
  <c r="AZ498" i="3" s="1"/>
  <c r="BL497" i="3"/>
  <c r="BA497" i="3"/>
  <c r="AZ497" i="3" s="1"/>
  <c r="BL496" i="3"/>
  <c r="AZ496" i="3" s="1"/>
  <c r="BA496" i="3"/>
  <c r="BA495" i="3"/>
  <c r="AZ495" i="3"/>
  <c r="BL494" i="3"/>
  <c r="BA494" i="3"/>
  <c r="AZ494" i="3"/>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c r="AA36" i="34"/>
  <c r="AC12" i="21"/>
  <c r="W12"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c r="E72" i="35"/>
  <c r="F72" i="35"/>
  <c r="G72" i="35"/>
  <c r="H22" i="35"/>
  <c r="AB22" i="35" s="1"/>
  <c r="H23" i="35"/>
  <c r="F23" i="35"/>
  <c r="AA23" i="35"/>
  <c r="U31" i="36"/>
  <c r="S8" i="37"/>
  <c r="AA8" i="37"/>
  <c r="F14" i="39"/>
  <c r="AA14" i="39" s="1"/>
  <c r="H14" i="39"/>
  <c r="AB14" i="39"/>
  <c r="J14" i="39"/>
  <c r="AC14" i="39" s="1"/>
  <c r="F16" i="39"/>
  <c r="AA16" i="39"/>
  <c r="H16" i="39"/>
  <c r="U16" i="39" s="1"/>
  <c r="J16" i="39"/>
  <c r="AC16" i="39"/>
  <c r="F23" i="39"/>
  <c r="AA23" i="39" s="1"/>
  <c r="E97" i="39"/>
  <c r="F27" i="39"/>
  <c r="AA27" i="39" s="1"/>
  <c r="H27" i="39"/>
  <c r="AB27" i="39" s="1"/>
  <c r="J27" i="39"/>
  <c r="AC27" i="39" s="1"/>
  <c r="F15" i="40"/>
  <c r="AA15" i="40"/>
  <c r="J15" i="40"/>
  <c r="H15" i="40"/>
  <c r="AB15" i="40" s="1"/>
  <c r="E92" i="40"/>
  <c r="F92" i="40"/>
  <c r="H23" i="40"/>
  <c r="U23" i="40" s="1"/>
  <c r="H41" i="40"/>
  <c r="U41" i="40" s="1"/>
  <c r="AB41" i="40"/>
  <c r="F41" i="40"/>
  <c r="AA41" i="40" s="1"/>
  <c r="J41" i="40"/>
  <c r="H37" i="34"/>
  <c r="U37" i="34" s="1"/>
  <c r="F15" i="39"/>
  <c r="AA15" i="39" s="1"/>
  <c r="H15" i="39"/>
  <c r="U15" i="39"/>
  <c r="J15" i="39"/>
  <c r="AC15" i="39" s="1"/>
  <c r="H25" i="39"/>
  <c r="U25" i="39" s="1"/>
  <c r="J25" i="39"/>
  <c r="AC25" i="39" s="1"/>
  <c r="F25" i="39"/>
  <c r="AA25" i="39" s="1"/>
  <c r="F45" i="39"/>
  <c r="AA45" i="39"/>
  <c r="H45" i="39"/>
  <c r="AB45" i="39" s="1"/>
  <c r="U45" i="39"/>
  <c r="J45" i="39"/>
  <c r="AC45" i="39"/>
  <c r="F47" i="39"/>
  <c r="AA47" i="39"/>
  <c r="H47" i="39"/>
  <c r="AB47" i="39"/>
  <c r="J47" i="39"/>
  <c r="W47" i="39"/>
  <c r="F41" i="39"/>
  <c r="AA41" i="39" s="1"/>
  <c r="H41" i="39"/>
  <c r="AB41" i="39" s="1"/>
  <c r="J41" i="39"/>
  <c r="AC41" i="39" s="1"/>
  <c r="E94" i="40"/>
  <c r="J25" i="40"/>
  <c r="AC25" i="40"/>
  <c r="J32" i="40"/>
  <c r="W32" i="40" s="1"/>
  <c r="AC32" i="40"/>
  <c r="H32" i="40"/>
  <c r="U32" i="40"/>
  <c r="H33" i="40"/>
  <c r="U33" i="40" s="1"/>
  <c r="AB33" i="40"/>
  <c r="F33" i="40"/>
  <c r="AA33" i="40"/>
  <c r="J33" i="40"/>
  <c r="AC33" i="40"/>
  <c r="H35" i="40"/>
  <c r="AB35" i="40"/>
  <c r="F35" i="40"/>
  <c r="S35" i="40" s="1"/>
  <c r="AA35" i="40"/>
  <c r="J35" i="40"/>
  <c r="AC35" i="40"/>
  <c r="J38" i="39"/>
  <c r="W38" i="39" s="1"/>
  <c r="H38" i="39"/>
  <c r="U38" i="39" s="1"/>
  <c r="J16" i="40"/>
  <c r="W16" i="40"/>
  <c r="J14" i="40"/>
  <c r="W14" i="40"/>
  <c r="H42" i="40"/>
  <c r="H40" i="40"/>
  <c r="U40" i="40"/>
  <c r="H34" i="40"/>
  <c r="U34" i="40" s="1"/>
  <c r="AZ399" i="3"/>
  <c r="AZ407" i="3"/>
  <c r="AZ423" i="3"/>
  <c r="AZ431" i="3"/>
  <c r="AZ439" i="3"/>
  <c r="AZ454" i="3"/>
  <c r="B41" i="1"/>
  <c r="J42" i="40"/>
  <c r="AC42" i="40" s="1"/>
  <c r="J40" i="40"/>
  <c r="W40" i="40" s="1"/>
  <c r="AC40" i="40"/>
  <c r="J34" i="40"/>
  <c r="AC34" i="40" s="1"/>
  <c r="H16" i="40"/>
  <c r="AB16" i="40"/>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63" i="3"/>
  <c r="AZ79" i="3"/>
  <c r="AZ99" i="3"/>
  <c r="AZ107" i="3"/>
  <c r="AZ112" i="3"/>
  <c r="J13" i="40"/>
  <c r="W13" i="40"/>
  <c r="AB14" i="40"/>
  <c r="F27" i="43"/>
  <c r="F66" i="9"/>
  <c r="P72" i="9" s="1"/>
  <c r="AC14" i="40"/>
  <c r="W35" i="40"/>
  <c r="S33" i="40"/>
  <c r="AB32" i="40"/>
  <c r="AC47" i="39"/>
  <c r="S47" i="39"/>
  <c r="AC41" i="40"/>
  <c r="W41" i="40"/>
  <c r="J23" i="40"/>
  <c r="AC23" i="40"/>
  <c r="G92" i="40"/>
  <c r="F23" i="40"/>
  <c r="S23" i="40"/>
  <c r="AC15" i="40"/>
  <c r="W15" i="40"/>
  <c r="U23" i="35"/>
  <c r="AB23" i="35"/>
  <c r="H20" i="35"/>
  <c r="F20" i="35"/>
  <c r="S20" i="35"/>
  <c r="H15" i="34"/>
  <c r="AB15" i="34" s="1"/>
  <c r="J15" i="34"/>
  <c r="AC15" i="34" s="1"/>
  <c r="H41" i="33"/>
  <c r="U41" i="33" s="1"/>
  <c r="F30" i="40"/>
  <c r="AA30" i="40" s="1"/>
  <c r="AB38" i="34"/>
  <c r="AZ515" i="3"/>
  <c r="AZ547" i="3"/>
  <c r="AZ549" i="3"/>
  <c r="AA29" i="35"/>
  <c r="U39" i="39"/>
  <c r="AA11" i="36"/>
  <c r="AA14" i="35"/>
  <c r="F33" i="37"/>
  <c r="S33" i="37" s="1"/>
  <c r="AB19" i="39"/>
  <c r="U19" i="39"/>
  <c r="AC30" i="34"/>
  <c r="AA14" i="34"/>
  <c r="W12" i="34"/>
  <c r="U29" i="33"/>
  <c r="AC13" i="33"/>
  <c r="U17" i="34"/>
  <c r="AA11" i="34"/>
  <c r="U16" i="40"/>
  <c r="W34" i="40"/>
  <c r="AB42" i="40"/>
  <c r="U42" i="40"/>
  <c r="AC16" i="40"/>
  <c r="H25" i="40"/>
  <c r="AB25" i="40"/>
  <c r="F94" i="40"/>
  <c r="G94" i="40" s="1"/>
  <c r="U47" i="39"/>
  <c r="J37" i="34"/>
  <c r="AC37" i="34" s="1"/>
  <c r="H23" i="39"/>
  <c r="AB23" i="39" s="1"/>
  <c r="F97" i="39"/>
  <c r="J23" i="39" s="1"/>
  <c r="AC23" i="39" s="1"/>
  <c r="G97" i="39"/>
  <c r="S16" i="39"/>
  <c r="F106" i="33"/>
  <c r="G106" i="33" s="1"/>
  <c r="H106" i="33" s="1"/>
  <c r="I106" i="33" s="1"/>
  <c r="J106" i="33" s="1"/>
  <c r="K106" i="33" s="1"/>
  <c r="L106" i="33" s="1"/>
  <c r="M106" i="33" s="1"/>
  <c r="J34" i="33"/>
  <c r="AC34" i="33" s="1"/>
  <c r="U30" i="40"/>
  <c r="AC39" i="39"/>
  <c r="W39" i="39"/>
  <c r="U34" i="39"/>
  <c r="AB46" i="39"/>
  <c r="U11" i="36"/>
  <c r="F80" i="35"/>
  <c r="G80" i="35" s="1"/>
  <c r="H80" i="35" s="1"/>
  <c r="I80" i="35" s="1"/>
  <c r="J80" i="35" s="1"/>
  <c r="K80" i="35" s="1"/>
  <c r="L80" i="35" s="1"/>
  <c r="M80" i="35" s="1"/>
  <c r="W14" i="35"/>
  <c r="F90" i="34"/>
  <c r="G90" i="34"/>
  <c r="H90" i="34"/>
  <c r="I90" i="34"/>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c r="J35" i="33"/>
  <c r="W35" i="33" s="1"/>
  <c r="H11" i="33"/>
  <c r="U11" i="33" s="1"/>
  <c r="H10" i="33"/>
  <c r="U10" i="33" s="1"/>
  <c r="I66" i="33"/>
  <c r="J10" i="33"/>
  <c r="AC10" i="33" s="1"/>
  <c r="AC16" i="35"/>
  <c r="AC13" i="40"/>
  <c r="J11" i="34"/>
  <c r="W11" i="34" s="1"/>
  <c r="S17" i="34"/>
  <c r="F25" i="40"/>
  <c r="AA25" i="40"/>
  <c r="J11" i="33"/>
  <c r="W11" i="33" s="1"/>
  <c r="H33" i="37"/>
  <c r="AB33" i="37"/>
  <c r="U20" i="35"/>
  <c r="AB20" i="35"/>
  <c r="W23" i="40"/>
  <c r="AP11" i="1"/>
  <c r="B11" i="1"/>
  <c r="E11" i="1"/>
  <c r="K11" i="1"/>
  <c r="M11" i="1" s="1"/>
  <c r="O11" i="1" s="1"/>
  <c r="P11" i="1" s="1"/>
  <c r="B9" i="1"/>
  <c r="E9" i="1" s="1"/>
  <c r="K9" i="1"/>
  <c r="M9" i="1" s="1"/>
  <c r="O9" i="1" s="1"/>
  <c r="P9" i="1" s="1"/>
  <c r="C20" i="43"/>
  <c r="F6" i="1"/>
  <c r="AP6" i="1" s="1"/>
  <c r="G11" i="1"/>
  <c r="M22" i="44"/>
  <c r="F32" i="15"/>
  <c r="F59" i="15"/>
  <c r="D86" i="9"/>
  <c r="M20" i="44"/>
  <c r="AC25" i="36"/>
  <c r="S23" i="36"/>
  <c r="S8" i="36"/>
  <c r="AA28" i="36"/>
  <c r="U25" i="36"/>
  <c r="H20" i="36"/>
  <c r="U20" i="36"/>
  <c r="F68" i="36"/>
  <c r="G68" i="36"/>
  <c r="J20" i="36"/>
  <c r="AC20" i="36"/>
  <c r="F20" i="36"/>
  <c r="S20" i="36"/>
  <c r="F62" i="36"/>
  <c r="G62" i="36"/>
  <c r="J14" i="36"/>
  <c r="AC14" i="36" s="1"/>
  <c r="H14" i="36"/>
  <c r="AB14" i="36" s="1"/>
  <c r="F14" i="36"/>
  <c r="AA14" i="36"/>
  <c r="W20" i="36"/>
  <c r="U27" i="36"/>
  <c r="U9" i="36"/>
  <c r="S33" i="36"/>
  <c r="AA27" i="36"/>
  <c r="S16" i="36"/>
  <c r="S29" i="36"/>
  <c r="AC33" i="35"/>
  <c r="AA13" i="35"/>
  <c r="S8" i="35"/>
  <c r="U33" i="35"/>
  <c r="AA20" i="35"/>
  <c r="W20" i="35"/>
  <c r="S23" i="35"/>
  <c r="AC10" i="35"/>
  <c r="W13" i="35"/>
  <c r="AC18" i="35"/>
  <c r="W18" i="35"/>
  <c r="U18" i="35"/>
  <c r="AB18" i="35"/>
  <c r="S30" i="35"/>
  <c r="AA35" i="35"/>
  <c r="AB30" i="35"/>
  <c r="S27" i="35"/>
  <c r="S28" i="35"/>
  <c r="J26" i="35"/>
  <c r="AC26" i="35" s="1"/>
  <c r="F26" i="35"/>
  <c r="S26" i="35" s="1"/>
  <c r="H26" i="35"/>
  <c r="AB9" i="37"/>
  <c r="W12" i="37"/>
  <c r="AA9" i="37"/>
  <c r="S17" i="37"/>
  <c r="W28" i="37"/>
  <c r="AB37" i="37"/>
  <c r="AA31" i="37"/>
  <c r="U32" i="37"/>
  <c r="AA32" i="37"/>
  <c r="J33" i="37"/>
  <c r="W33" i="37"/>
  <c r="S29" i="37"/>
  <c r="J19" i="37"/>
  <c r="AC19" i="37"/>
  <c r="G75" i="37"/>
  <c r="F19" i="37"/>
  <c r="AA19" i="37"/>
  <c r="H19" i="37"/>
  <c r="U19" i="37" s="1"/>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AA25" i="34" s="1"/>
  <c r="J23" i="34"/>
  <c r="AC23" i="34" s="1"/>
  <c r="F86" i="34"/>
  <c r="G86" i="34"/>
  <c r="F23" i="34"/>
  <c r="S23" i="34" s="1"/>
  <c r="H23" i="34"/>
  <c r="U23" i="34" s="1"/>
  <c r="U11" i="34"/>
  <c r="W10" i="34"/>
  <c r="U10" i="34"/>
  <c r="AC40" i="34"/>
  <c r="W44" i="34"/>
  <c r="W19" i="34"/>
  <c r="W29" i="34"/>
  <c r="AC21" i="34"/>
  <c r="W21" i="34"/>
  <c r="AB21" i="34"/>
  <c r="U21" i="34"/>
  <c r="U27" i="34"/>
  <c r="U19" i="34"/>
  <c r="AB41" i="34"/>
  <c r="S13" i="34"/>
  <c r="AA41" i="34"/>
  <c r="S9" i="34"/>
  <c r="S10" i="34"/>
  <c r="U39" i="33"/>
  <c r="AC12" i="33"/>
  <c r="S29" i="33"/>
  <c r="W31" i="33"/>
  <c r="U46" i="33"/>
  <c r="W39" i="33"/>
  <c r="U35" i="33"/>
  <c r="AB34" i="33"/>
  <c r="H25" i="33"/>
  <c r="AB25" i="33"/>
  <c r="J25" i="33"/>
  <c r="W25" i="33"/>
  <c r="F87" i="33"/>
  <c r="G87" i="33"/>
  <c r="H87" i="33" s="1"/>
  <c r="I87" i="33" s="1"/>
  <c r="J87" i="33" s="1"/>
  <c r="K87" i="33" s="1"/>
  <c r="L87" i="33" s="1"/>
  <c r="M87" i="33" s="1"/>
  <c r="F25" i="33"/>
  <c r="S25" i="33" s="1"/>
  <c r="S10" i="33"/>
  <c r="S14" i="33"/>
  <c r="W14" i="33"/>
  <c r="U25" i="33"/>
  <c r="AA44" i="33"/>
  <c r="S44" i="21"/>
  <c r="W39" i="21"/>
  <c r="U35" i="21"/>
  <c r="W28" i="21"/>
  <c r="AC46" i="21"/>
  <c r="AC26" i="21"/>
  <c r="W13" i="21"/>
  <c r="AC21" i="21"/>
  <c r="W21" i="21"/>
  <c r="W44" i="21"/>
  <c r="W10" i="21"/>
  <c r="AB21" i="21"/>
  <c r="U21" i="21"/>
  <c r="AB29" i="21"/>
  <c r="AA30" i="21"/>
  <c r="AA31" i="21"/>
  <c r="W33" i="40"/>
  <c r="S14" i="40"/>
  <c r="S15" i="40"/>
  <c r="AB13" i="40"/>
  <c r="S16" i="40"/>
  <c r="W11" i="40"/>
  <c r="AA21" i="40"/>
  <c r="U21" i="40"/>
  <c r="W25" i="40"/>
  <c r="U25" i="40"/>
  <c r="U35" i="40"/>
  <c r="F37" i="40"/>
  <c r="AA37" i="40" s="1"/>
  <c r="J37" i="40"/>
  <c r="AC37" i="40" s="1"/>
  <c r="H37" i="40"/>
  <c r="G113" i="40"/>
  <c r="H113" i="40"/>
  <c r="I113" i="40" s="1"/>
  <c r="J113" i="40" s="1"/>
  <c r="K113" i="40" s="1"/>
  <c r="L113" i="40" s="1"/>
  <c r="M113" i="40" s="1"/>
  <c r="F39" i="40"/>
  <c r="S38" i="40"/>
  <c r="H39" i="40"/>
  <c r="AB39" i="40" s="1"/>
  <c r="J39" i="40"/>
  <c r="W38" i="40"/>
  <c r="F29" i="40"/>
  <c r="S29" i="40" s="1"/>
  <c r="H29" i="40"/>
  <c r="AB29" i="40" s="1"/>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AB40" i="40"/>
  <c r="U10" i="40"/>
  <c r="U27" i="40"/>
  <c r="AB27" i="40"/>
  <c r="S11" i="39"/>
  <c r="AC19" i="39"/>
  <c r="AC38" i="39"/>
  <c r="AC21" i="39"/>
  <c r="AB15" i="39"/>
  <c r="U11" i="39"/>
  <c r="U31" i="39"/>
  <c r="S22" i="31"/>
  <c r="B20" i="31" s="1"/>
  <c r="M20" i="15"/>
  <c r="D96" i="9"/>
  <c r="M18" i="15"/>
  <c r="BA16" i="3"/>
  <c r="BA17" i="3"/>
  <c r="AZ17" i="3"/>
  <c r="K1" i="43"/>
  <c r="G1" i="44"/>
  <c r="I4" i="6"/>
  <c r="G3" i="46"/>
  <c r="H22" i="46" s="1"/>
  <c r="AZ15" i="3"/>
  <c r="BK5" i="3"/>
  <c r="BO5" i="3"/>
  <c r="BL18" i="3"/>
  <c r="AZ18" i="3"/>
  <c r="BC5" i="3"/>
  <c r="BD5" i="3"/>
  <c r="BR5" i="3"/>
  <c r="BS5" i="3"/>
  <c r="BQ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8" i="1"/>
  <c r="I20" i="46"/>
  <c r="B46" i="50"/>
  <c r="B4" i="63" s="1"/>
  <c r="C46" i="36"/>
  <c r="O19" i="46"/>
  <c r="H86" i="46"/>
  <c r="H82" i="46"/>
  <c r="H10" i="48"/>
  <c r="H87" i="46"/>
  <c r="H85" i="46"/>
  <c r="H83" i="46"/>
  <c r="K10" i="1"/>
  <c r="M10" i="1" s="1"/>
  <c r="S11" i="1"/>
  <c r="R11" i="1"/>
  <c r="S13" i="1"/>
  <c r="R13" i="1"/>
  <c r="B6" i="1"/>
  <c r="E6" i="1" s="1"/>
  <c r="B10" i="1"/>
  <c r="E10" i="1"/>
  <c r="S10" i="1"/>
  <c r="B8" i="1"/>
  <c r="E8" i="1"/>
  <c r="B12" i="1"/>
  <c r="E12" i="1" s="1"/>
  <c r="S12" i="1"/>
  <c r="K6" i="1"/>
  <c r="M6" i="1" s="1"/>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AB12" i="33"/>
  <c r="S9" i="33"/>
  <c r="AB25" i="21"/>
  <c r="AB45" i="21"/>
  <c r="W25" i="21"/>
  <c r="AA25" i="21"/>
  <c r="AA29" i="21"/>
  <c r="U27" i="21"/>
  <c r="W31" i="21"/>
  <c r="S27" i="21"/>
  <c r="AC27" i="21"/>
  <c r="W29" i="21"/>
  <c r="G96" i="40"/>
  <c r="J27" i="40"/>
  <c r="W30" i="40"/>
  <c r="S34" i="40"/>
  <c r="U17" i="40"/>
  <c r="U38" i="40"/>
  <c r="S40" i="40"/>
  <c r="S42" i="40"/>
  <c r="G105" i="39"/>
  <c r="J31" i="39"/>
  <c r="AC31" i="39" s="1"/>
  <c r="S45" i="39"/>
  <c r="AB43" i="39"/>
  <c r="AC46" i="39"/>
  <c r="S34" i="39"/>
  <c r="W42" i="39"/>
  <c r="W36" i="39"/>
  <c r="U14" i="39"/>
  <c r="W16"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W14" i="36"/>
  <c r="U14" i="36"/>
  <c r="U18" i="36"/>
  <c r="AB18" i="36"/>
  <c r="AA26" i="35"/>
  <c r="U26" i="35"/>
  <c r="AB26" i="35"/>
  <c r="W26" i="35"/>
  <c r="S19" i="37"/>
  <c r="W19" i="37"/>
  <c r="AB19" i="37"/>
  <c r="U25" i="34"/>
  <c r="AB25" i="34"/>
  <c r="S25" i="34"/>
  <c r="W25" i="34"/>
  <c r="AC25" i="34"/>
  <c r="AA23" i="34"/>
  <c r="AA25" i="33"/>
  <c r="AC39" i="40"/>
  <c r="W39" i="40"/>
  <c r="AA39" i="40"/>
  <c r="S39" i="40"/>
  <c r="U37" i="40"/>
  <c r="AB37" i="40"/>
  <c r="S37" i="40"/>
  <c r="U29" i="40"/>
  <c r="AC29" i="40"/>
  <c r="W29" i="40"/>
  <c r="AA29" i="40"/>
  <c r="W19" i="40"/>
  <c r="AC19" i="40"/>
  <c r="AA19" i="40"/>
  <c r="AC27" i="40"/>
  <c r="W27" i="40"/>
  <c r="R22" i="31"/>
  <c r="B21" i="31"/>
  <c r="E5" i="6"/>
  <c r="A9" i="64"/>
  <c r="A9" i="51"/>
  <c r="B9" i="63" s="1"/>
  <c r="J18" i="36"/>
  <c r="W18" i="36" s="1"/>
  <c r="AE7" i="1"/>
  <c r="AE6" i="1"/>
  <c r="AG6" i="1"/>
  <c r="L20" i="6"/>
  <c r="L19" i="6"/>
  <c r="N76" i="9"/>
  <c r="H58" i="46"/>
  <c r="J17" i="46"/>
  <c r="C17" i="46"/>
  <c r="F34" i="46"/>
  <c r="F38" i="46"/>
  <c r="F37" i="46"/>
  <c r="H113" i="46"/>
  <c r="H53" i="46"/>
  <c r="Y15" i="59"/>
  <c r="Z15" i="59" s="1"/>
  <c r="AA15" i="59"/>
  <c r="AB15" i="59"/>
  <c r="Y14" i="59"/>
  <c r="Z14" i="59" s="1"/>
  <c r="Y13" i="59"/>
  <c r="Z13" i="59" s="1"/>
  <c r="Z11" i="59"/>
  <c r="Y12" i="59"/>
  <c r="Z12" i="59" s="1"/>
  <c r="AB14" i="59"/>
  <c r="AB13" i="59"/>
  <c r="AB12" i="59"/>
  <c r="AA17" i="59"/>
  <c r="X15" i="59"/>
  <c r="X13" i="59"/>
  <c r="X12" i="59"/>
  <c r="AA13" i="59"/>
  <c r="AA12" i="59"/>
  <c r="H1" i="65"/>
  <c r="H51" i="46"/>
  <c r="X7" i="46"/>
  <c r="E17" i="46"/>
  <c r="N17" i="46"/>
  <c r="O17" i="46"/>
  <c r="M17" i="46"/>
  <c r="L17" i="46"/>
  <c r="F101" i="46"/>
  <c r="F106" i="46" s="1"/>
  <c r="O13" i="1"/>
  <c r="P13" i="1" s="1"/>
  <c r="G13" i="1"/>
  <c r="D46" i="36"/>
  <c r="E46" i="36" s="1"/>
  <c r="F46" i="36" s="1"/>
  <c r="G46" i="36" s="1"/>
  <c r="H46" i="36" s="1"/>
  <c r="H73" i="46"/>
  <c r="F35" i="46"/>
  <c r="I17" i="46"/>
  <c r="G17" i="46" s="1"/>
  <c r="C16" i="46" s="1"/>
  <c r="H63" i="46"/>
  <c r="I101" i="46"/>
  <c r="I102" i="46" s="1"/>
  <c r="N101" i="46"/>
  <c r="N105" i="46" s="1"/>
  <c r="H64" i="46"/>
  <c r="H66" i="46"/>
  <c r="D100" i="46"/>
  <c r="H62" i="46"/>
  <c r="AF12" i="46"/>
  <c r="K100" i="46"/>
  <c r="AB12" i="46"/>
  <c r="AJ12" i="46"/>
  <c r="G101" i="46"/>
  <c r="G106" i="46" s="1"/>
  <c r="E101" i="46"/>
  <c r="E104" i="46" s="1"/>
  <c r="K101" i="46"/>
  <c r="K107" i="46" s="1"/>
  <c r="AG11" i="46"/>
  <c r="AG13" i="46" s="1"/>
  <c r="AE11" i="46"/>
  <c r="AE13" i="46" s="1"/>
  <c r="H60" i="46"/>
  <c r="H59" i="46"/>
  <c r="H65" i="46"/>
  <c r="E10" i="46"/>
  <c r="E9" i="46"/>
  <c r="E11" i="46"/>
  <c r="E8" i="46"/>
  <c r="H76" i="46"/>
  <c r="H47" i="46"/>
  <c r="AD12" i="46"/>
  <c r="AH12" i="46"/>
  <c r="N106" i="46"/>
  <c r="C23" i="46"/>
  <c r="C7" i="46"/>
  <c r="G20" i="46"/>
  <c r="E41" i="46"/>
  <c r="C41" i="46" s="1"/>
  <c r="E13" i="67"/>
  <c r="F13" i="67"/>
  <c r="F45" i="44"/>
  <c r="B12" i="67"/>
  <c r="L48" i="71"/>
  <c r="F10" i="67"/>
  <c r="F9" i="67"/>
  <c r="J4" i="65"/>
  <c r="F14" i="67"/>
  <c r="F38" i="44"/>
  <c r="I4" i="65"/>
  <c r="E8" i="67"/>
  <c r="B11" i="67"/>
  <c r="L48" i="44"/>
  <c r="M28" i="44"/>
  <c r="F46" i="44"/>
  <c r="F12" i="67"/>
  <c r="B14" i="67"/>
  <c r="B8" i="67"/>
  <c r="N5" i="65"/>
  <c r="E14" i="67"/>
  <c r="J3" i="65"/>
  <c r="E10" i="67"/>
  <c r="J17" i="44"/>
  <c r="N6" i="65"/>
  <c r="F8" i="67"/>
  <c r="I6" i="65"/>
  <c r="N3" i="65"/>
  <c r="M23" i="44"/>
  <c r="J6" i="65"/>
  <c r="B13" i="67"/>
  <c r="N7" i="65"/>
  <c r="B10" i="67"/>
  <c r="M26" i="44"/>
  <c r="E9" i="67"/>
  <c r="E12" i="67"/>
  <c r="N4" i="65"/>
  <c r="B9" i="67"/>
  <c r="J5" i="65"/>
  <c r="I7" i="65"/>
  <c r="M8" i="44"/>
  <c r="E11" i="67"/>
  <c r="F11" i="67"/>
  <c r="H113" i="21" l="1"/>
  <c r="J37" i="21"/>
  <c r="F37" i="21"/>
  <c r="H37" i="21"/>
  <c r="AB36" i="21"/>
  <c r="E103" i="46"/>
  <c r="E109" i="46"/>
  <c r="AI11" i="46"/>
  <c r="AI13" i="46" s="1"/>
  <c r="B113" i="46"/>
  <c r="I116" i="46" s="1"/>
  <c r="J116" i="46" s="1"/>
  <c r="K116" i="46" s="1"/>
  <c r="L116" i="46" s="1"/>
  <c r="M116" i="46" s="1"/>
  <c r="Y11" i="46"/>
  <c r="Y13" i="46" s="1"/>
  <c r="E8" i="6"/>
  <c r="E53" i="40" s="1"/>
  <c r="F103" i="46"/>
  <c r="I106" i="46"/>
  <c r="G27" i="6"/>
  <c r="G102" i="46"/>
  <c r="B116" i="46"/>
  <c r="C116" i="46" s="1"/>
  <c r="K105" i="46"/>
  <c r="AH11" i="46"/>
  <c r="AH13" i="46" s="1"/>
  <c r="L101" i="46"/>
  <c r="AD11" i="46"/>
  <c r="AD13" i="46" s="1"/>
  <c r="G22" i="46"/>
  <c r="G103" i="46"/>
  <c r="K106" i="46"/>
  <c r="I103" i="46"/>
  <c r="G109" i="46"/>
  <c r="D118" i="46"/>
  <c r="E118" i="46" s="1"/>
  <c r="F118" i="46" s="1"/>
  <c r="E107" i="46"/>
  <c r="K103" i="46"/>
  <c r="I104" i="46"/>
  <c r="G105" i="46"/>
  <c r="I107" i="46"/>
  <c r="I109" i="46"/>
  <c r="AA27" i="37"/>
  <c r="S27" i="37"/>
  <c r="AC35" i="35"/>
  <c r="W35" i="35"/>
  <c r="AC46" i="33"/>
  <c r="W46" i="33"/>
  <c r="S28" i="21"/>
  <c r="AA28" i="21"/>
  <c r="D3" i="70"/>
  <c r="C9" i="12"/>
  <c r="D3" i="21"/>
  <c r="H5" i="3"/>
  <c r="F9" i="35"/>
  <c r="H9" i="35"/>
  <c r="J9" i="35"/>
  <c r="J25" i="35"/>
  <c r="H25" i="35"/>
  <c r="H52" i="46"/>
  <c r="H77" i="46"/>
  <c r="H75" i="46"/>
  <c r="H49" i="46"/>
  <c r="U19" i="40"/>
  <c r="U39" i="40"/>
  <c r="W23" i="34"/>
  <c r="AB23" i="34"/>
  <c r="W17" i="37"/>
  <c r="S17" i="40"/>
  <c r="U15" i="40"/>
  <c r="AB23" i="40"/>
  <c r="W15" i="39"/>
  <c r="F32" i="71"/>
  <c r="F59" i="71" s="1"/>
  <c r="F28" i="71"/>
  <c r="M18" i="71"/>
  <c r="F44" i="39"/>
  <c r="S44" i="39" s="1"/>
  <c r="F128" i="39"/>
  <c r="G128" i="39" s="1"/>
  <c r="H128" i="39" s="1"/>
  <c r="I128" i="39" s="1"/>
  <c r="J128" i="39" s="1"/>
  <c r="K128" i="39" s="1"/>
  <c r="L128" i="39" s="1"/>
  <c r="M128" i="39" s="1"/>
  <c r="AZ359" i="3"/>
  <c r="AZ299" i="3"/>
  <c r="AZ508" i="3"/>
  <c r="U35" i="35"/>
  <c r="AB35" i="35"/>
  <c r="F25" i="35"/>
  <c r="W29" i="37"/>
  <c r="AC29" i="37"/>
  <c r="U12" i="21"/>
  <c r="AB12" i="21"/>
  <c r="W24" i="36"/>
  <c r="AC24" i="36"/>
  <c r="G28" i="6"/>
  <c r="W15" i="34"/>
  <c r="H70" i="46"/>
  <c r="AC18" i="36"/>
  <c r="B117" i="46"/>
  <c r="C117" i="46" s="1"/>
  <c r="B115" i="46"/>
  <c r="C115" i="46" s="1"/>
  <c r="L106" i="46"/>
  <c r="E106" i="46"/>
  <c r="N107" i="46"/>
  <c r="H54" i="46"/>
  <c r="H69" i="46"/>
  <c r="H48" i="46"/>
  <c r="AC37" i="39"/>
  <c r="W37" i="40"/>
  <c r="C20" i="46"/>
  <c r="F28" i="15"/>
  <c r="S14" i="39"/>
  <c r="S30" i="40"/>
  <c r="W37" i="34"/>
  <c r="AC11" i="34"/>
  <c r="AA33" i="37"/>
  <c r="AB14" i="35"/>
  <c r="AA26" i="36"/>
  <c r="F30" i="44"/>
  <c r="F70" i="9"/>
  <c r="S33" i="39"/>
  <c r="W29" i="35"/>
  <c r="AA15" i="34"/>
  <c r="S41" i="40"/>
  <c r="AA11" i="33"/>
  <c r="U46" i="34"/>
  <c r="AB33" i="36"/>
  <c r="W14" i="39"/>
  <c r="AB37" i="34"/>
  <c r="F72" i="9"/>
  <c r="F34" i="44"/>
  <c r="J44" i="39"/>
  <c r="W44" i="39" s="1"/>
  <c r="AZ492" i="3"/>
  <c r="W30" i="21"/>
  <c r="W45" i="33"/>
  <c r="AC45" i="33"/>
  <c r="S33" i="33"/>
  <c r="AA26" i="21"/>
  <c r="S26" i="21"/>
  <c r="G123" i="21"/>
  <c r="H123" i="21" s="1"/>
  <c r="I123" i="21" s="1"/>
  <c r="J123" i="21" s="1"/>
  <c r="K123" i="21" s="1"/>
  <c r="L123" i="21" s="1"/>
  <c r="M123" i="21" s="1"/>
  <c r="J42" i="21"/>
  <c r="AC42" i="21" s="1"/>
  <c r="F42" i="21"/>
  <c r="AA42" i="21" s="1"/>
  <c r="S12" i="33"/>
  <c r="AA12" i="33"/>
  <c r="J26" i="33"/>
  <c r="F26" i="33"/>
  <c r="H26" i="33"/>
  <c r="AA34" i="35"/>
  <c r="S34" i="35"/>
  <c r="U8" i="36"/>
  <c r="AB8" i="36"/>
  <c r="U10" i="37"/>
  <c r="AB10" i="37"/>
  <c r="G91" i="39"/>
  <c r="F17" i="39"/>
  <c r="AA17" i="39" s="1"/>
  <c r="I117" i="46"/>
  <c r="J117" i="46" s="1"/>
  <c r="K117" i="46" s="1"/>
  <c r="L117" i="46" s="1"/>
  <c r="M117" i="46" s="1"/>
  <c r="I115" i="46"/>
  <c r="J115" i="46" s="1"/>
  <c r="K115" i="46" s="1"/>
  <c r="L115" i="46" s="1"/>
  <c r="M115" i="46" s="1"/>
  <c r="L105" i="46"/>
  <c r="N102" i="46"/>
  <c r="H55" i="46"/>
  <c r="H72" i="46"/>
  <c r="H74" i="46"/>
  <c r="S15" i="39"/>
  <c r="C13" i="39"/>
  <c r="J13" i="39" s="1"/>
  <c r="AC13" i="39" s="1"/>
  <c r="C11" i="70"/>
  <c r="C11" i="21"/>
  <c r="AB38" i="39"/>
  <c r="W42" i="40"/>
  <c r="U15" i="34"/>
  <c r="W17" i="34"/>
  <c r="U30" i="34"/>
  <c r="W46" i="34"/>
  <c r="U22" i="35"/>
  <c r="U32" i="36"/>
  <c r="F31" i="43"/>
  <c r="C31" i="43" s="1"/>
  <c r="F29" i="12"/>
  <c r="U11" i="37"/>
  <c r="S39" i="39"/>
  <c r="AB34" i="40"/>
  <c r="J29" i="39"/>
  <c r="AC29" i="39" s="1"/>
  <c r="AB16" i="39"/>
  <c r="F71" i="9"/>
  <c r="S34" i="21"/>
  <c r="H29" i="39"/>
  <c r="H44" i="39"/>
  <c r="U44" i="39" s="1"/>
  <c r="AZ571" i="3"/>
  <c r="AC27" i="37"/>
  <c r="U31" i="37"/>
  <c r="AZ542" i="3"/>
  <c r="AZ493" i="3"/>
  <c r="S38" i="37"/>
  <c r="AA38" i="37"/>
  <c r="AA45" i="34"/>
  <c r="S45" i="34"/>
  <c r="S30" i="33"/>
  <c r="AA30" i="33"/>
  <c r="W33" i="36"/>
  <c r="AC33" i="36"/>
  <c r="BL572" i="3"/>
  <c r="AZ572" i="3" s="1"/>
  <c r="J42" i="33"/>
  <c r="G123" i="33"/>
  <c r="H123" i="33" s="1"/>
  <c r="I123" i="33" s="1"/>
  <c r="J123" i="33" s="1"/>
  <c r="K123" i="33" s="1"/>
  <c r="L123" i="33" s="1"/>
  <c r="M123" i="33" s="1"/>
  <c r="H42" i="33"/>
  <c r="U42" i="33" s="1"/>
  <c r="AA31" i="33"/>
  <c r="S31" i="33"/>
  <c r="J36" i="35"/>
  <c r="H36" i="35"/>
  <c r="F36" i="35"/>
  <c r="F34" i="36"/>
  <c r="H34" i="36"/>
  <c r="J34" i="36"/>
  <c r="U27" i="37"/>
  <c r="AB27" i="37"/>
  <c r="BF5" i="3"/>
  <c r="E101" i="21"/>
  <c r="J32" i="21" s="1"/>
  <c r="AC32" i="21" s="1"/>
  <c r="F32" i="21"/>
  <c r="AA32" i="21" s="1"/>
  <c r="E125" i="21"/>
  <c r="F125" i="21" s="1"/>
  <c r="G125" i="21" s="1"/>
  <c r="F43" i="21"/>
  <c r="S43" i="21" s="1"/>
  <c r="AB38" i="33"/>
  <c r="U38" i="33"/>
  <c r="U26" i="36"/>
  <c r="AB26" i="36"/>
  <c r="H12" i="36"/>
  <c r="F12" i="36"/>
  <c r="J12" i="36"/>
  <c r="S22" i="35"/>
  <c r="E9" i="12"/>
  <c r="K8" i="1"/>
  <c r="M8" i="1" s="1"/>
  <c r="O8" i="1" s="1"/>
  <c r="P8" i="1" s="1"/>
  <c r="BL13" i="3"/>
  <c r="AC38" i="33"/>
  <c r="W38" i="33"/>
  <c r="AC39" i="37"/>
  <c r="BA570" i="3"/>
  <c r="AZ570" i="3" s="1"/>
  <c r="J43" i="21"/>
  <c r="AC24" i="35"/>
  <c r="W24" i="35"/>
  <c r="BP5" i="3"/>
  <c r="G396" i="3"/>
  <c r="G399" i="3"/>
  <c r="BA403" i="3"/>
  <c r="AZ403" i="3" s="1"/>
  <c r="AZ406" i="3"/>
  <c r="BL409" i="3"/>
  <c r="AZ412" i="3"/>
  <c r="AZ460" i="3"/>
  <c r="AZ472" i="3"/>
  <c r="AZ368" i="3"/>
  <c r="AZ387" i="3"/>
  <c r="AZ224" i="3"/>
  <c r="AZ235" i="3"/>
  <c r="AC5" i="3"/>
  <c r="F34" i="15"/>
  <c r="F61" i="15" s="1"/>
  <c r="F34" i="71"/>
  <c r="M20" i="71"/>
  <c r="AZ389" i="3"/>
  <c r="G414" i="3"/>
  <c r="G416" i="3"/>
  <c r="BA418" i="3"/>
  <c r="AZ418" i="3" s="1"/>
  <c r="BL421" i="3"/>
  <c r="AZ421" i="3" s="1"/>
  <c r="AZ429" i="3"/>
  <c r="AZ468" i="3"/>
  <c r="AZ480" i="3"/>
  <c r="AZ384" i="3"/>
  <c r="AZ386" i="3"/>
  <c r="BA392" i="3"/>
  <c r="AZ392" i="3" s="1"/>
  <c r="BA400" i="3"/>
  <c r="AZ400" i="3" s="1"/>
  <c r="BL402" i="3"/>
  <c r="AZ409" i="3"/>
  <c r="BI5" i="3"/>
  <c r="F7" i="1"/>
  <c r="BL391" i="3"/>
  <c r="AZ391" i="3" s="1"/>
  <c r="BL394" i="3"/>
  <c r="AZ394" i="3" s="1"/>
  <c r="G395" i="3"/>
  <c r="BL397" i="3"/>
  <c r="AZ397" i="3" s="1"/>
  <c r="AZ402" i="3"/>
  <c r="AZ405" i="3"/>
  <c r="AZ411" i="3"/>
  <c r="BA413" i="3"/>
  <c r="AZ413" i="3" s="1"/>
  <c r="BA415" i="3"/>
  <c r="AZ415" i="3" s="1"/>
  <c r="G419" i="3"/>
  <c r="AZ443" i="3"/>
  <c r="AZ451" i="3"/>
  <c r="AZ216" i="3"/>
  <c r="AZ246" i="3"/>
  <c r="BA229" i="3"/>
  <c r="AZ229" i="3" s="1"/>
  <c r="G233" i="3"/>
  <c r="G236" i="3"/>
  <c r="BL236" i="3"/>
  <c r="AZ236" i="3" s="1"/>
  <c r="G241" i="3"/>
  <c r="BL241" i="3"/>
  <c r="AZ241" i="3" s="1"/>
  <c r="BL242" i="3"/>
  <c r="AZ242" i="3" s="1"/>
  <c r="BL247" i="3"/>
  <c r="AZ247" i="3" s="1"/>
  <c r="G248" i="3"/>
  <c r="AZ258" i="3"/>
  <c r="AZ277" i="3"/>
  <c r="AZ279" i="3"/>
  <c r="AZ288" i="3"/>
  <c r="AZ141" i="3"/>
  <c r="AZ159" i="3"/>
  <c r="AZ163" i="3"/>
  <c r="AZ171" i="3"/>
  <c r="AZ175" i="3"/>
  <c r="G238" i="3"/>
  <c r="BA239" i="3"/>
  <c r="BA240" i="3"/>
  <c r="AZ240" i="3" s="1"/>
  <c r="G244" i="3"/>
  <c r="BL244" i="3"/>
  <c r="AZ244" i="3" s="1"/>
  <c r="G249" i="3"/>
  <c r="BL249" i="3"/>
  <c r="AZ249" i="3" s="1"/>
  <c r="AZ76" i="3"/>
  <c r="AZ92" i="3"/>
  <c r="AZ262" i="3"/>
  <c r="AZ117" i="3"/>
  <c r="AZ120" i="3"/>
  <c r="AZ182" i="3"/>
  <c r="AZ194" i="3"/>
  <c r="AZ29" i="3"/>
  <c r="AZ68" i="3"/>
  <c r="BL226" i="3"/>
  <c r="AZ226" i="3" s="1"/>
  <c r="G230" i="3"/>
  <c r="BL239" i="3"/>
  <c r="G240" i="3"/>
  <c r="BA245" i="3"/>
  <c r="AZ245" i="3" s="1"/>
  <c r="BA250" i="3"/>
  <c r="AZ250" i="3" s="1"/>
  <c r="AZ269" i="3"/>
  <c r="AZ271" i="3"/>
  <c r="AZ280" i="3"/>
  <c r="AZ116" i="3"/>
  <c r="AZ132" i="3"/>
  <c r="AZ136" i="3"/>
  <c r="AZ160" i="3"/>
  <c r="AZ172" i="3"/>
  <c r="AZ176" i="3"/>
  <c r="AZ186" i="3"/>
  <c r="AZ30" i="3"/>
  <c r="AZ42" i="3"/>
  <c r="AZ44" i="3"/>
  <c r="BA25" i="3"/>
  <c r="AZ25" i="3" s="1"/>
  <c r="G29" i="3"/>
  <c r="BL33" i="3"/>
  <c r="BL36" i="3"/>
  <c r="BA46" i="3"/>
  <c r="AZ46" i="3" s="1"/>
  <c r="BL52" i="3"/>
  <c r="BL56" i="3"/>
  <c r="AZ56" i="3" s="1"/>
  <c r="AZ69" i="3"/>
  <c r="AZ73" i="3"/>
  <c r="BL80" i="3"/>
  <c r="BL24" i="3"/>
  <c r="AZ24" i="3" s="1"/>
  <c r="BA28" i="3"/>
  <c r="AZ28" i="3" s="1"/>
  <c r="AZ33" i="3"/>
  <c r="AZ36" i="3"/>
  <c r="AZ52" i="3"/>
  <c r="BL61" i="3"/>
  <c r="AZ61" i="3" s="1"/>
  <c r="BL67" i="3"/>
  <c r="AZ67" i="3" s="1"/>
  <c r="BL71" i="3"/>
  <c r="AZ71" i="3" s="1"/>
  <c r="AZ80" i="3"/>
  <c r="BL87" i="3"/>
  <c r="AZ87" i="3" s="1"/>
  <c r="BL91" i="3"/>
  <c r="AZ91" i="3" s="1"/>
  <c r="AZ96" i="3"/>
  <c r="G35" i="3"/>
  <c r="G38" i="3"/>
  <c r="BA48" i="3"/>
  <c r="AZ48" i="3" s="1"/>
  <c r="BL49" i="3"/>
  <c r="AZ49" i="3" s="1"/>
  <c r="BL54" i="3"/>
  <c r="AZ54" i="3" s="1"/>
  <c r="BL58" i="3"/>
  <c r="AZ58" i="3" s="1"/>
  <c r="BA60" i="3"/>
  <c r="AZ60" i="3" s="1"/>
  <c r="BA65" i="3"/>
  <c r="AZ65" i="3" s="1"/>
  <c r="BA66" i="3"/>
  <c r="AZ66" i="3" s="1"/>
  <c r="BL76" i="3"/>
  <c r="BL83" i="3"/>
  <c r="AZ83" i="3" s="1"/>
  <c r="BA85" i="3"/>
  <c r="AZ85" i="3" s="1"/>
  <c r="BA86" i="3"/>
  <c r="AZ86" i="3" s="1"/>
  <c r="AZ97" i="3"/>
  <c r="AZ108" i="3"/>
  <c r="AZ109" i="3"/>
  <c r="BA31" i="3"/>
  <c r="AZ31" i="3" s="1"/>
  <c r="BA34" i="3"/>
  <c r="AZ34" i="3" s="1"/>
  <c r="BA37" i="3"/>
  <c r="AZ37" i="3" s="1"/>
  <c r="BL42" i="3"/>
  <c r="G47" i="3"/>
  <c r="BA53" i="3"/>
  <c r="AZ53" i="3" s="1"/>
  <c r="BL55" i="3"/>
  <c r="AZ55" i="3" s="1"/>
  <c r="BA57" i="3"/>
  <c r="AZ57" i="3" s="1"/>
  <c r="BL59" i="3"/>
  <c r="AZ59" i="3" s="1"/>
  <c r="BL64" i="3"/>
  <c r="AZ64" i="3" s="1"/>
  <c r="BL69" i="3"/>
  <c r="BL73" i="3"/>
  <c r="BA75" i="3"/>
  <c r="AZ75" i="3" s="1"/>
  <c r="BA81" i="3"/>
  <c r="AZ81" i="3" s="1"/>
  <c r="BA82" i="3"/>
  <c r="AZ82" i="3" s="1"/>
  <c r="BL84" i="3"/>
  <c r="AZ84" i="3" s="1"/>
  <c r="BL93" i="3"/>
  <c r="AZ93" i="3" s="1"/>
  <c r="BL94" i="3"/>
  <c r="AZ94" i="3" s="1"/>
  <c r="AZ103" i="3"/>
  <c r="E26" i="57"/>
  <c r="E83" i="33"/>
  <c r="F83" i="33" s="1"/>
  <c r="G83" i="33" s="1"/>
  <c r="J21" i="33"/>
  <c r="H21" i="33"/>
  <c r="S21" i="37"/>
  <c r="AA21" i="37"/>
  <c r="D37" i="59"/>
  <c r="T37" i="59"/>
  <c r="F21" i="33"/>
  <c r="S18" i="35"/>
  <c r="AA18" i="35"/>
  <c r="S18" i="36"/>
  <c r="T49" i="59"/>
  <c r="C75" i="59"/>
  <c r="D75" i="59" s="1"/>
  <c r="D68" i="59"/>
  <c r="C67" i="59"/>
  <c r="D67" i="59" s="1"/>
  <c r="Y18" i="59"/>
  <c r="Z18" i="59" s="1"/>
  <c r="X3" i="59"/>
  <c r="Y22" i="59"/>
  <c r="Z22" i="59" s="1"/>
  <c r="Y23" i="59"/>
  <c r="Z23" i="59" s="1"/>
  <c r="E28" i="59"/>
  <c r="E29" i="59" s="1"/>
  <c r="U29" i="59" s="1"/>
  <c r="F31" i="59"/>
  <c r="F32" i="59" s="1"/>
  <c r="F33" i="59" s="1"/>
  <c r="V33" i="59" s="1"/>
  <c r="AB30" i="59"/>
  <c r="B36" i="59"/>
  <c r="B37" i="59" s="1"/>
  <c r="S37" i="59" s="1"/>
  <c r="E48" i="59"/>
  <c r="E49" i="59" s="1"/>
  <c r="U49" i="59" s="1"/>
  <c r="B56" i="59"/>
  <c r="B57" i="59" s="1"/>
  <c r="S57" i="59" s="1"/>
  <c r="V73" i="59"/>
  <c r="F72" i="59"/>
  <c r="F71" i="59" s="1"/>
  <c r="D81" i="59"/>
  <c r="V21" i="59"/>
  <c r="F20" i="59"/>
  <c r="F19" i="59" s="1"/>
  <c r="Z12" i="46"/>
  <c r="Y5" i="59"/>
  <c r="Z5" i="59" s="1"/>
  <c r="Y7" i="59"/>
  <c r="Z7" i="59" s="1"/>
  <c r="Y6" i="59"/>
  <c r="Z6" i="59" s="1"/>
  <c r="D72" i="59"/>
  <c r="C71" i="59"/>
  <c r="D71" i="59" s="1"/>
  <c r="B27" i="59"/>
  <c r="B28" i="59" s="1"/>
  <c r="B29" i="59" s="1"/>
  <c r="S29" i="59" s="1"/>
  <c r="X26" i="59"/>
  <c r="Y30" i="59"/>
  <c r="Z30" i="59" s="1"/>
  <c r="Y29" i="59"/>
  <c r="Z29" i="59" s="1"/>
  <c r="C31" i="59"/>
  <c r="Y19" i="59"/>
  <c r="Z19" i="59" s="1"/>
  <c r="C56" i="59"/>
  <c r="D55" i="59"/>
  <c r="P60" i="59"/>
  <c r="E59" i="59"/>
  <c r="A28" i="51"/>
  <c r="A28" i="64"/>
  <c r="Y27" i="59"/>
  <c r="Z27" i="59" s="1"/>
  <c r="X24" i="59"/>
  <c r="X16" i="59"/>
  <c r="F17" i="59"/>
  <c r="AB17" i="59"/>
  <c r="AB16" i="59"/>
  <c r="T25" i="59"/>
  <c r="C53" i="59"/>
  <c r="C79" i="59"/>
  <c r="D79" i="59" s="1"/>
  <c r="C40" i="59"/>
  <c r="D40" i="59" s="1"/>
  <c r="Y21" i="59"/>
  <c r="Z21" i="59" s="1"/>
  <c r="AB22" i="59"/>
  <c r="F23" i="59"/>
  <c r="F24" i="59" s="1"/>
  <c r="F25" i="59" s="1"/>
  <c r="V25" i="59" s="1"/>
  <c r="AB20" i="59"/>
  <c r="AB21" i="59"/>
  <c r="P61" i="59"/>
  <c r="U61" i="59"/>
  <c r="U65" i="59"/>
  <c r="E64" i="59"/>
  <c r="E63" i="59" s="1"/>
  <c r="D21" i="59"/>
  <c r="T21" i="59"/>
  <c r="C20" i="59"/>
  <c r="AA23" i="59"/>
  <c r="X18" i="59"/>
  <c r="X19" i="59"/>
  <c r="X20" i="59"/>
  <c r="X17" i="59"/>
  <c r="AB3" i="59"/>
  <c r="Y10" i="59"/>
  <c r="Z10" i="59" s="1"/>
  <c r="AB10" i="59"/>
  <c r="D44" i="59"/>
  <c r="D35" i="59"/>
  <c r="Y20" i="59"/>
  <c r="Z20" i="59" s="1"/>
  <c r="X21" i="59"/>
  <c r="X23" i="59"/>
  <c r="X25" i="59"/>
  <c r="AA30" i="59"/>
  <c r="E31" i="59"/>
  <c r="E32" i="59" s="1"/>
  <c r="E33" i="59" s="1"/>
  <c r="U33" i="59" s="1"/>
  <c r="V65" i="59"/>
  <c r="F64" i="59"/>
  <c r="F63" i="59" s="1"/>
  <c r="AA19" i="59"/>
  <c r="E21" i="59"/>
  <c r="AA18" i="59"/>
  <c r="AA20" i="59"/>
  <c r="AA25" i="59"/>
  <c r="AB5" i="59"/>
  <c r="L16" i="4"/>
  <c r="K17" i="4" s="1"/>
  <c r="A22" i="51" s="1"/>
  <c r="B16" i="63" s="1"/>
  <c r="AA22" i="59"/>
  <c r="Y24" i="59"/>
  <c r="Z24" i="59" s="1"/>
  <c r="X27" i="59"/>
  <c r="X29" i="59"/>
  <c r="Q59" i="59"/>
  <c r="S21" i="59"/>
  <c r="B20" i="59"/>
  <c r="B19" i="59" s="1"/>
  <c r="Y16" i="59"/>
  <c r="Z16" i="59" s="1"/>
  <c r="C17" i="59"/>
  <c r="Y17" i="59"/>
  <c r="Z17" i="59" s="1"/>
  <c r="X14" i="59"/>
  <c r="AB11" i="59"/>
  <c r="AA11" i="59"/>
  <c r="AB6" i="59"/>
  <c r="AA10" i="59"/>
  <c r="AA24" i="59"/>
  <c r="Y26" i="59"/>
  <c r="Z26" i="59" s="1"/>
  <c r="AA26" i="59"/>
  <c r="Y28" i="59"/>
  <c r="Z28" i="59" s="1"/>
  <c r="Y31" i="59"/>
  <c r="Z31" i="59" s="1"/>
  <c r="AA16" i="59"/>
  <c r="E16" i="59"/>
  <c r="E15" i="59" s="1"/>
  <c r="E14" i="59" s="1"/>
  <c r="E13" i="59" s="1"/>
  <c r="X11" i="59"/>
  <c r="X7" i="59"/>
  <c r="X10" i="59"/>
  <c r="AA7" i="59"/>
  <c r="AA8" i="59"/>
  <c r="X5" i="59"/>
  <c r="L76" i="9"/>
  <c r="AB8" i="59"/>
  <c r="AB7" i="59"/>
  <c r="AA6" i="59"/>
  <c r="X6" i="59"/>
  <c r="B17" i="59"/>
  <c r="X9" i="59"/>
  <c r="AA5" i="59"/>
  <c r="L57" i="71"/>
  <c r="L60" i="71"/>
  <c r="L56" i="71"/>
  <c r="J57" i="71"/>
  <c r="J55" i="71" s="1"/>
  <c r="J58" i="71" s="1"/>
  <c r="Q51" i="71" s="1"/>
  <c r="J53" i="71"/>
  <c r="J59" i="71"/>
  <c r="I54" i="71"/>
  <c r="J60" i="71"/>
  <c r="Q49" i="71" s="1"/>
  <c r="AP9" i="1"/>
  <c r="G9" i="1"/>
  <c r="C42" i="1"/>
  <c r="C7" i="70"/>
  <c r="C58" i="70" s="1"/>
  <c r="AB44" i="39"/>
  <c r="AA44" i="39"/>
  <c r="U30" i="33"/>
  <c r="F85" i="33"/>
  <c r="G85" i="33" s="1"/>
  <c r="J23" i="33"/>
  <c r="AC23" i="33" s="1"/>
  <c r="H23" i="33"/>
  <c r="U23" i="33" s="1"/>
  <c r="F23" i="33"/>
  <c r="S23" i="33" s="1"/>
  <c r="F81" i="33"/>
  <c r="F19" i="33" s="1"/>
  <c r="F79" i="33"/>
  <c r="G79" i="33" s="1"/>
  <c r="F77" i="33"/>
  <c r="J15" i="33" s="1"/>
  <c r="W15" i="33" s="1"/>
  <c r="F91" i="33"/>
  <c r="G91" i="33" s="1"/>
  <c r="H91" i="33" s="1"/>
  <c r="I91" i="33" s="1"/>
  <c r="J91" i="33" s="1"/>
  <c r="K91" i="33" s="1"/>
  <c r="L91" i="33" s="1"/>
  <c r="M91" i="33" s="1"/>
  <c r="H27" i="33"/>
  <c r="J27" i="33"/>
  <c r="AC27" i="33" s="1"/>
  <c r="F27" i="33"/>
  <c r="S27" i="33" s="1"/>
  <c r="AC28" i="33"/>
  <c r="J36" i="33"/>
  <c r="H111" i="33"/>
  <c r="I111" i="33" s="1"/>
  <c r="J111" i="33" s="1"/>
  <c r="K111" i="33" s="1"/>
  <c r="L111" i="33" s="1"/>
  <c r="M111" i="33" s="1"/>
  <c r="F36" i="33"/>
  <c r="H36" i="33"/>
  <c r="S32" i="33"/>
  <c r="S35" i="33"/>
  <c r="W43" i="33"/>
  <c r="AB43" i="33"/>
  <c r="AB41" i="33"/>
  <c r="U37" i="33"/>
  <c r="S37" i="33"/>
  <c r="AA42" i="33"/>
  <c r="AB42" i="33"/>
  <c r="AA41" i="33"/>
  <c r="W41" i="33"/>
  <c r="S39" i="33"/>
  <c r="S38" i="33"/>
  <c r="AC37" i="33"/>
  <c r="AC35" i="33"/>
  <c r="W34" i="33"/>
  <c r="AA34" i="33"/>
  <c r="U32" i="33"/>
  <c r="W32" i="33"/>
  <c r="AC8" i="33"/>
  <c r="AB23" i="33"/>
  <c r="AC11" i="33"/>
  <c r="AB11" i="33"/>
  <c r="AB10" i="33"/>
  <c r="W10" i="33"/>
  <c r="U9" i="33"/>
  <c r="AC43" i="39"/>
  <c r="AA43" i="39"/>
  <c r="W41" i="39"/>
  <c r="S41" i="39"/>
  <c r="U41" i="39"/>
  <c r="D5" i="46"/>
  <c r="C5" i="46"/>
  <c r="F23" i="21"/>
  <c r="S23" i="21" s="1"/>
  <c r="F85" i="21"/>
  <c r="G85" i="21" s="1"/>
  <c r="J23" i="21"/>
  <c r="W23" i="21" s="1"/>
  <c r="H23" i="21"/>
  <c r="AB23" i="21" s="1"/>
  <c r="F81" i="21"/>
  <c r="F79" i="21"/>
  <c r="F77" i="21"/>
  <c r="G77" i="21" s="1"/>
  <c r="J15" i="21"/>
  <c r="W15" i="21" s="1"/>
  <c r="H15" i="21"/>
  <c r="U15" i="21" s="1"/>
  <c r="W8" i="21"/>
  <c r="U23" i="21"/>
  <c r="S21" i="21"/>
  <c r="AC40" i="21"/>
  <c r="AA43" i="21"/>
  <c r="S35" i="21"/>
  <c r="AC35" i="21"/>
  <c r="U40" i="21"/>
  <c r="AA40" i="21"/>
  <c r="S39" i="21"/>
  <c r="AC34" i="21"/>
  <c r="U39" i="21"/>
  <c r="AC38" i="21"/>
  <c r="AA38" i="21"/>
  <c r="AA23" i="21"/>
  <c r="AC15" i="21"/>
  <c r="S8" i="21"/>
  <c r="S10" i="21"/>
  <c r="AB10" i="21"/>
  <c r="U9" i="21"/>
  <c r="W9" i="21"/>
  <c r="S42" i="21"/>
  <c r="U42" i="21"/>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AB11" i="46"/>
  <c r="AB13" i="46" s="1"/>
  <c r="AF11" i="46"/>
  <c r="AF13" i="46" s="1"/>
  <c r="AA11" i="46"/>
  <c r="AA13" i="46" s="1"/>
  <c r="Z11" i="46"/>
  <c r="E22" i="46"/>
  <c r="Z7" i="46"/>
  <c r="F22" i="46"/>
  <c r="N104" i="45"/>
  <c r="J101" i="46"/>
  <c r="J107" i="46" s="1"/>
  <c r="C101" i="46"/>
  <c r="C109" i="46" s="1"/>
  <c r="AJ11" i="46"/>
  <c r="AJ13" i="46" s="1"/>
  <c r="AC11" i="46"/>
  <c r="AC13" i="46" s="1"/>
  <c r="M101" i="46"/>
  <c r="M107" i="46" s="1"/>
  <c r="D101" i="46"/>
  <c r="D106" i="46" s="1"/>
  <c r="J22" i="46"/>
  <c r="H101" i="46"/>
  <c r="H109" i="46" s="1"/>
  <c r="H13" i="39"/>
  <c r="AB13" i="39" s="1"/>
  <c r="G29" i="6"/>
  <c r="E29" i="6" s="1"/>
  <c r="K15" i="1" s="1"/>
  <c r="AA38" i="39"/>
  <c r="S38" i="39"/>
  <c r="U33" i="39"/>
  <c r="AB33" i="39"/>
  <c r="J33" i="39"/>
  <c r="W34" i="39"/>
  <c r="AA37" i="39"/>
  <c r="AB37" i="39"/>
  <c r="S31" i="39"/>
  <c r="W31" i="39"/>
  <c r="S29" i="39"/>
  <c r="W29" i="39"/>
  <c r="U27" i="39"/>
  <c r="S27" i="39"/>
  <c r="W27" i="39"/>
  <c r="W25" i="39"/>
  <c r="S25" i="39"/>
  <c r="AB25" i="39"/>
  <c r="AB17" i="39"/>
  <c r="S17" i="39"/>
  <c r="W23" i="39"/>
  <c r="U23" i="39"/>
  <c r="S23" i="39"/>
  <c r="AC17" i="39"/>
  <c r="AA21" i="39"/>
  <c r="AB21" i="39"/>
  <c r="C18" i="9"/>
  <c r="D18" i="9" s="1"/>
  <c r="M44" i="9" s="1"/>
  <c r="P75" i="15"/>
  <c r="A30" i="51"/>
  <c r="B22" i="63" s="1"/>
  <c r="A30" i="64"/>
  <c r="BL16" i="3"/>
  <c r="AZ16" i="3" s="1"/>
  <c r="F102" i="46"/>
  <c r="F109" i="46"/>
  <c r="F30" i="6"/>
  <c r="J105" i="46"/>
  <c r="G1" i="15"/>
  <c r="K1" i="12"/>
  <c r="F3" i="35"/>
  <c r="K7" i="1"/>
  <c r="M7" i="1" s="1"/>
  <c r="O7" i="1" s="1"/>
  <c r="P7" i="1" s="1"/>
  <c r="L27" i="6"/>
  <c r="E28" i="6"/>
  <c r="E15" i="6"/>
  <c r="E12" i="6"/>
  <c r="E11" i="6"/>
  <c r="E14" i="6"/>
  <c r="E13" i="6"/>
  <c r="E10" i="6"/>
  <c r="BL5" i="3"/>
  <c r="AZ13" i="3"/>
  <c r="H106" i="46"/>
  <c r="M104" i="46"/>
  <c r="D12" i="11"/>
  <c r="C12" i="11" s="1"/>
  <c r="D21" i="12"/>
  <c r="C21" i="12" s="1"/>
  <c r="E58" i="39"/>
  <c r="F27" i="6"/>
  <c r="F31" i="6" s="1"/>
  <c r="G13" i="3"/>
  <c r="F105" i="46"/>
  <c r="F104" i="46"/>
  <c r="F107" i="46"/>
  <c r="O6" i="1"/>
  <c r="O10" i="1"/>
  <c r="P10" i="1" s="1"/>
  <c r="A18" i="64"/>
  <c r="B74" i="63" s="1"/>
  <c r="C53" i="10"/>
  <c r="L5" i="54"/>
  <c r="B39" i="63" s="1"/>
  <c r="T41" i="4"/>
  <c r="A17" i="51" s="1"/>
  <c r="B13" i="63" s="1"/>
  <c r="A18" i="51"/>
  <c r="B14" i="63" s="1"/>
  <c r="K5" i="54"/>
  <c r="B38" i="63" s="1"/>
  <c r="A17" i="64"/>
  <c r="A11" i="55"/>
  <c r="B62" i="63" s="1"/>
  <c r="G6" i="1"/>
  <c r="K76" i="9"/>
  <c r="C95" i="9"/>
  <c r="C92" i="9" s="1"/>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J1" i="65"/>
  <c r="I1" i="65"/>
  <c r="L60" i="44"/>
  <c r="J22" i="44"/>
  <c r="C4" i="65"/>
  <c r="B39" i="1" s="1"/>
  <c r="M24" i="44"/>
  <c r="F43" i="44"/>
  <c r="F26" i="71"/>
  <c r="F38" i="71"/>
  <c r="M24" i="15"/>
  <c r="J15" i="71"/>
  <c r="J36" i="15"/>
  <c r="F16" i="15"/>
  <c r="M25" i="44"/>
  <c r="M9" i="71"/>
  <c r="J36" i="71"/>
  <c r="M8" i="15"/>
  <c r="F42" i="15"/>
  <c r="J7" i="65"/>
  <c r="M27" i="71"/>
  <c r="F11" i="44"/>
  <c r="F8" i="71"/>
  <c r="F6" i="71"/>
  <c r="M6" i="15"/>
  <c r="F37" i="15"/>
  <c r="I5" i="65"/>
  <c r="M28" i="15"/>
  <c r="F40" i="15"/>
  <c r="J15" i="15"/>
  <c r="F15" i="44"/>
  <c r="F16" i="71"/>
  <c r="F36" i="15"/>
  <c r="M31" i="44"/>
  <c r="F28" i="44"/>
  <c r="F13" i="71"/>
  <c r="E3" i="65"/>
  <c r="F36" i="71"/>
  <c r="L47" i="15"/>
  <c r="M22" i="15"/>
  <c r="F43" i="71"/>
  <c r="M10" i="44"/>
  <c r="M26" i="71"/>
  <c r="M6" i="71"/>
  <c r="F8" i="15"/>
  <c r="I3" i="65"/>
  <c r="M11" i="44"/>
  <c r="M22" i="71"/>
  <c r="M29" i="44"/>
  <c r="F43" i="15"/>
  <c r="M27" i="15"/>
  <c r="F9" i="71"/>
  <c r="M26" i="15"/>
  <c r="F39" i="44"/>
  <c r="F37" i="44"/>
  <c r="C19" i="44"/>
  <c r="F40" i="44"/>
  <c r="E2" i="65"/>
  <c r="F8" i="44"/>
  <c r="F7" i="71"/>
  <c r="F42" i="71"/>
  <c r="F26" i="15"/>
  <c r="F38" i="15"/>
  <c r="M29" i="71"/>
  <c r="F13" i="15"/>
  <c r="F10" i="44"/>
  <c r="M30" i="44"/>
  <c r="M28" i="71"/>
  <c r="L48" i="15"/>
  <c r="M9" i="15"/>
  <c r="F9" i="44"/>
  <c r="F18" i="44"/>
  <c r="F37" i="71"/>
  <c r="F7" i="15"/>
  <c r="M8" i="71"/>
  <c r="F6" i="15"/>
  <c r="F9" i="15"/>
  <c r="L47" i="71"/>
  <c r="M23" i="15"/>
  <c r="M24" i="71"/>
  <c r="F40" i="71"/>
  <c r="M29" i="15"/>
  <c r="L49" i="44"/>
  <c r="M23" i="71"/>
  <c r="W23" i="33" l="1"/>
  <c r="W32" i="21"/>
  <c r="W42" i="21"/>
  <c r="U37" i="21"/>
  <c r="AB37" i="21"/>
  <c r="S37" i="21"/>
  <c r="AA37" i="21"/>
  <c r="W37" i="21"/>
  <c r="AC37" i="21"/>
  <c r="J109" i="46"/>
  <c r="M103" i="46"/>
  <c r="M106" i="46"/>
  <c r="J103" i="46"/>
  <c r="M102" i="46"/>
  <c r="G30" i="6"/>
  <c r="G31" i="6" s="1"/>
  <c r="C105" i="46"/>
  <c r="L102" i="46"/>
  <c r="L103" i="46"/>
  <c r="D105" i="46"/>
  <c r="C102" i="46"/>
  <c r="S3" i="46" s="1"/>
  <c r="C15" i="43"/>
  <c r="C104" i="46"/>
  <c r="M109" i="46"/>
  <c r="C106" i="46"/>
  <c r="M105" i="46"/>
  <c r="D103" i="46"/>
  <c r="S6" i="46"/>
  <c r="F13" i="39"/>
  <c r="J102" i="46"/>
  <c r="H105" i="46"/>
  <c r="J104" i="46"/>
  <c r="J106" i="46"/>
  <c r="U13" i="39"/>
  <c r="W13" i="39"/>
  <c r="C6" i="71"/>
  <c r="C32" i="71" s="1"/>
  <c r="F31" i="71"/>
  <c r="F64" i="71"/>
  <c r="F50" i="71"/>
  <c r="C29" i="44"/>
  <c r="L59" i="71"/>
  <c r="L58" i="71"/>
  <c r="Q74" i="71" s="1"/>
  <c r="L59" i="44"/>
  <c r="Q75" i="44" s="1"/>
  <c r="J58" i="44"/>
  <c r="J56" i="44" s="1"/>
  <c r="J59" i="44" s="1"/>
  <c r="Q52" i="44" s="1"/>
  <c r="J54" i="44"/>
  <c r="Q54" i="44" s="1"/>
  <c r="J61" i="44"/>
  <c r="Q50" i="44" s="1"/>
  <c r="I55" i="44"/>
  <c r="J60" i="44"/>
  <c r="L57" i="44"/>
  <c r="M9" i="44"/>
  <c r="J8" i="44" s="1"/>
  <c r="J20" i="44" s="1"/>
  <c r="Q72" i="71"/>
  <c r="F70" i="71"/>
  <c r="F67" i="71"/>
  <c r="F65" i="71"/>
  <c r="C27" i="71"/>
  <c r="F63" i="71"/>
  <c r="M7" i="71"/>
  <c r="M17" i="71" s="1"/>
  <c r="F49" i="71"/>
  <c r="Q73" i="44"/>
  <c r="C8" i="44"/>
  <c r="C34" i="44" s="1"/>
  <c r="F33" i="44"/>
  <c r="C36" i="44"/>
  <c r="H7" i="21"/>
  <c r="C27" i="43"/>
  <c r="C25" i="12"/>
  <c r="Z13" i="46"/>
  <c r="S32" i="21"/>
  <c r="F15" i="33"/>
  <c r="F17" i="33"/>
  <c r="J19" i="33"/>
  <c r="W19" i="33" s="1"/>
  <c r="T17" i="59"/>
  <c r="D17" i="59"/>
  <c r="C16" i="59"/>
  <c r="D53" i="59"/>
  <c r="T53" i="59"/>
  <c r="V17" i="59"/>
  <c r="F16" i="59"/>
  <c r="F15" i="59" s="1"/>
  <c r="F14" i="59" s="1"/>
  <c r="F13" i="59" s="1"/>
  <c r="S21" i="33"/>
  <c r="AA21" i="33"/>
  <c r="AZ239" i="3"/>
  <c r="AZ5" i="3" s="1"/>
  <c r="E3" i="6" s="1"/>
  <c r="W12" i="36"/>
  <c r="AC12" i="36"/>
  <c r="S34" i="36"/>
  <c r="AA34" i="36"/>
  <c r="AC42" i="33"/>
  <c r="W42" i="33"/>
  <c r="U29" i="39"/>
  <c r="AB29" i="39"/>
  <c r="AC26" i="33"/>
  <c r="W26" i="33"/>
  <c r="AA25" i="35"/>
  <c r="S25" i="35"/>
  <c r="AB9" i="35"/>
  <c r="U9" i="35"/>
  <c r="N4" i="63"/>
  <c r="B21" i="63"/>
  <c r="D56" i="59"/>
  <c r="C57" i="59"/>
  <c r="AA12" i="36"/>
  <c r="S12" i="36"/>
  <c r="AA36" i="35"/>
  <c r="S36" i="35"/>
  <c r="AB25" i="35"/>
  <c r="U25" i="35"/>
  <c r="AA9" i="35"/>
  <c r="S9" i="35"/>
  <c r="J7" i="21"/>
  <c r="J7" i="34"/>
  <c r="A3" i="55"/>
  <c r="B56" i="63" s="1"/>
  <c r="D113" i="46"/>
  <c r="F15" i="21"/>
  <c r="S15" i="21" s="1"/>
  <c r="AC44" i="39"/>
  <c r="W27" i="33"/>
  <c r="H17" i="33"/>
  <c r="AB17" i="33" s="1"/>
  <c r="U21" i="59"/>
  <c r="E20" i="59"/>
  <c r="E19" i="59" s="1"/>
  <c r="D20" i="59"/>
  <c r="C19" i="59"/>
  <c r="D19" i="59" s="1"/>
  <c r="P59" i="59"/>
  <c r="P58" i="59"/>
  <c r="AC21" i="33"/>
  <c r="W21" i="33"/>
  <c r="G7" i="1"/>
  <c r="AP7" i="1"/>
  <c r="U12" i="36"/>
  <c r="AB12" i="36"/>
  <c r="F101" i="21"/>
  <c r="G101" i="21" s="1"/>
  <c r="H101" i="21" s="1"/>
  <c r="I101" i="21" s="1"/>
  <c r="J101" i="21" s="1"/>
  <c r="K101" i="21" s="1"/>
  <c r="L101" i="21" s="1"/>
  <c r="M101" i="21" s="1"/>
  <c r="H32" i="21"/>
  <c r="AC34" i="36"/>
  <c r="W34" i="36"/>
  <c r="AB36" i="35"/>
  <c r="U36" i="35"/>
  <c r="F11" i="21"/>
  <c r="J11" i="21"/>
  <c r="H11" i="21"/>
  <c r="U26" i="33"/>
  <c r="AB26" i="33"/>
  <c r="W25" i="35"/>
  <c r="AC25" i="35"/>
  <c r="AB21" i="33"/>
  <c r="U21" i="33"/>
  <c r="C28" i="15"/>
  <c r="AA23" i="33"/>
  <c r="J17" i="33"/>
  <c r="S17" i="59"/>
  <c r="B16" i="59"/>
  <c r="B15" i="59" s="1"/>
  <c r="B14" i="59" s="1"/>
  <c r="B13" i="59" s="1"/>
  <c r="E12" i="59"/>
  <c r="E11" i="59" s="1"/>
  <c r="E10" i="59" s="1"/>
  <c r="E9" i="59" s="1"/>
  <c r="U13" i="59"/>
  <c r="D31" i="59"/>
  <c r="C32" i="59"/>
  <c r="F61" i="71"/>
  <c r="AC43" i="21"/>
  <c r="W43" i="21"/>
  <c r="U34" i="36"/>
  <c r="AB34" i="36"/>
  <c r="AC36" i="35"/>
  <c r="W36" i="35"/>
  <c r="H11" i="70"/>
  <c r="J11" i="70"/>
  <c r="F11" i="70"/>
  <c r="AA26" i="33"/>
  <c r="S26" i="33"/>
  <c r="W9" i="35"/>
  <c r="AC9" i="35"/>
  <c r="BA5" i="3"/>
  <c r="C28" i="71"/>
  <c r="F1" i="71"/>
  <c r="Q53" i="71"/>
  <c r="D58" i="70"/>
  <c r="E58" i="70" s="1"/>
  <c r="F58" i="70" s="1"/>
  <c r="G58" i="70" s="1"/>
  <c r="H58" i="70" s="1"/>
  <c r="I58" i="70" s="1"/>
  <c r="J58" i="70" s="1"/>
  <c r="K58" i="70" s="1"/>
  <c r="L58" i="70" s="1"/>
  <c r="M58" i="70" s="1"/>
  <c r="N58" i="70" s="1"/>
  <c r="O58" i="70" s="1"/>
  <c r="F7" i="70"/>
  <c r="J7" i="70"/>
  <c r="H7" i="70"/>
  <c r="Q67" i="71"/>
  <c r="Q58" i="71"/>
  <c r="S19" i="33"/>
  <c r="AA19" i="33"/>
  <c r="G81" i="33"/>
  <c r="H19" i="33"/>
  <c r="AC15" i="33"/>
  <c r="AA15" i="33"/>
  <c r="S15" i="33"/>
  <c r="G77" i="33"/>
  <c r="H15" i="33"/>
  <c r="U27" i="33"/>
  <c r="AB27" i="33"/>
  <c r="AA27" i="33"/>
  <c r="AB36" i="33"/>
  <c r="U36" i="33"/>
  <c r="S36" i="33"/>
  <c r="AA36" i="33"/>
  <c r="W36" i="33"/>
  <c r="AC36" i="33"/>
  <c r="F11" i="71"/>
  <c r="M11" i="71"/>
  <c r="J10" i="71" s="1"/>
  <c r="AA15" i="21"/>
  <c r="AC23" i="21"/>
  <c r="G81" i="21"/>
  <c r="G79" i="21"/>
  <c r="H17" i="21"/>
  <c r="AB15" i="21"/>
  <c r="H102" i="46"/>
  <c r="H103" i="46"/>
  <c r="G16" i="1"/>
  <c r="H12" i="40" s="1"/>
  <c r="AB12" i="40" s="1"/>
  <c r="D107" i="46"/>
  <c r="H107" i="46"/>
  <c r="D102" i="46"/>
  <c r="D109" i="46"/>
  <c r="C103" i="46"/>
  <c r="H104" i="46"/>
  <c r="D104" i="46"/>
  <c r="C107" i="46"/>
  <c r="D22" i="46"/>
  <c r="C21" i="46" s="1"/>
  <c r="S13" i="39"/>
  <c r="AA13" i="39"/>
  <c r="AC33" i="39"/>
  <c r="W33" i="39"/>
  <c r="M43" i="9"/>
  <c r="S4" i="46"/>
  <c r="S7" i="46"/>
  <c r="S2" i="46"/>
  <c r="S5" i="46"/>
  <c r="AP16" i="1"/>
  <c r="F22" i="11" s="1"/>
  <c r="H16" i="1"/>
  <c r="F31" i="15"/>
  <c r="C6" i="15"/>
  <c r="C32" i="15" s="1"/>
  <c r="J53" i="15"/>
  <c r="Q53" i="15" s="1"/>
  <c r="I54" i="15"/>
  <c r="J57" i="15"/>
  <c r="J55" i="15" s="1"/>
  <c r="J58" i="15" s="1"/>
  <c r="Q51" i="15" s="1"/>
  <c r="L56" i="15"/>
  <c r="F67" i="15"/>
  <c r="F50" i="15"/>
  <c r="L59" i="15"/>
  <c r="Q75" i="15" s="1"/>
  <c r="L58" i="15"/>
  <c r="Q61" i="15" s="1"/>
  <c r="F65" i="15"/>
  <c r="F63" i="15"/>
  <c r="C27" i="15"/>
  <c r="F64" i="15"/>
  <c r="F49" i="15"/>
  <c r="M7" i="15"/>
  <c r="M17" i="15" s="1"/>
  <c r="Q72" i="15"/>
  <c r="F70" i="15"/>
  <c r="Q16" i="1"/>
  <c r="F24" i="43" s="1"/>
  <c r="C26" i="43" s="1"/>
  <c r="D24" i="43" s="1"/>
  <c r="J12" i="39"/>
  <c r="W12" i="39" s="1"/>
  <c r="E27" i="6"/>
  <c r="K25" i="6" s="1"/>
  <c r="M25" i="6" s="1"/>
  <c r="I25" i="6" s="1"/>
  <c r="S25" i="6" s="1"/>
  <c r="E16" i="6"/>
  <c r="E66" i="39"/>
  <c r="E61" i="40"/>
  <c r="E59" i="40"/>
  <c r="E64" i="39"/>
  <c r="E65" i="39"/>
  <c r="E60" i="40"/>
  <c r="E58" i="40"/>
  <c r="E63" i="39"/>
  <c r="E62" i="40"/>
  <c r="E67" i="39"/>
  <c r="E30" i="6"/>
  <c r="K14" i="1"/>
  <c r="G5" i="3"/>
  <c r="B3" i="3" s="1"/>
  <c r="P6" i="1"/>
  <c r="C15" i="12" s="1"/>
  <c r="A25" i="64"/>
  <c r="A25" i="51"/>
  <c r="B18" i="63" s="1"/>
  <c r="C4" i="4"/>
  <c r="B20" i="55" s="1"/>
  <c r="B70" i="63" s="1"/>
  <c r="E4" i="4"/>
  <c r="B21" i="55" s="1"/>
  <c r="B72" i="63" s="1"/>
  <c r="F7" i="21"/>
  <c r="AA7" i="21" s="1"/>
  <c r="H7" i="35"/>
  <c r="U7" i="35" s="1"/>
  <c r="B40" i="1"/>
  <c r="F24" i="71" s="1"/>
  <c r="E65" i="40"/>
  <c r="D67" i="40"/>
  <c r="AC7" i="33"/>
  <c r="W7" i="33"/>
  <c r="S7" i="34"/>
  <c r="AA7" i="34"/>
  <c r="R49" i="34" s="1"/>
  <c r="W7" i="34"/>
  <c r="AC7" i="34"/>
  <c r="V49" i="34" s="1"/>
  <c r="I49" i="34" s="1"/>
  <c r="U7" i="21"/>
  <c r="AB7" i="21"/>
  <c r="J7" i="37"/>
  <c r="W7" i="21"/>
  <c r="AC7" i="21"/>
  <c r="D72" i="39"/>
  <c r="E70" i="39"/>
  <c r="AB7" i="34"/>
  <c r="T49" i="34" s="1"/>
  <c r="G49" i="34" s="1"/>
  <c r="U7" i="34"/>
  <c r="H7" i="33"/>
  <c r="F7" i="33"/>
  <c r="J46" i="36"/>
  <c r="J7" i="35"/>
  <c r="F7" i="35"/>
  <c r="H7" i="37"/>
  <c r="F7" i="37"/>
  <c r="C19" i="46"/>
  <c r="C34" i="46" s="1"/>
  <c r="F17" i="11"/>
  <c r="C17" i="11" s="1"/>
  <c r="C19" i="11" s="1"/>
  <c r="M13" i="44"/>
  <c r="J12" i="44" s="1"/>
  <c r="F11" i="15"/>
  <c r="M11" i="15"/>
  <c r="J10" i="15" s="1"/>
  <c r="F13" i="44"/>
  <c r="C12" i="44" s="1"/>
  <c r="M28" i="46"/>
  <c r="P28" i="46"/>
  <c r="O28" i="46"/>
  <c r="N28" i="46"/>
  <c r="Q63" i="44"/>
  <c r="Q76" i="44"/>
  <c r="C16" i="71"/>
  <c r="C18" i="44"/>
  <c r="AE9" i="1"/>
  <c r="C16" i="15"/>
  <c r="AC19" i="33" l="1"/>
  <c r="U17" i="33"/>
  <c r="F1" i="44"/>
  <c r="U12" i="40"/>
  <c r="F33" i="12"/>
  <c r="C34" i="12" s="1"/>
  <c r="D33" i="12" s="1"/>
  <c r="AC12" i="39"/>
  <c r="Q61" i="71"/>
  <c r="C33" i="71"/>
  <c r="C7" i="44"/>
  <c r="C40" i="44" s="1"/>
  <c r="J7" i="44"/>
  <c r="J26" i="44" s="1"/>
  <c r="M19" i="44"/>
  <c r="L47" i="44"/>
  <c r="F58" i="71"/>
  <c r="Q62" i="44"/>
  <c r="C21" i="4"/>
  <c r="O5" i="54" s="1"/>
  <c r="B45" i="63" s="1"/>
  <c r="D16" i="12"/>
  <c r="E6" i="6"/>
  <c r="D13" i="11" s="1"/>
  <c r="C13" i="11" s="1"/>
  <c r="L38" i="9"/>
  <c r="B14" i="66" s="1"/>
  <c r="B1" i="66" s="1"/>
  <c r="D16" i="43"/>
  <c r="C16" i="43" s="1"/>
  <c r="AC11" i="70"/>
  <c r="W11" i="70"/>
  <c r="W17" i="33"/>
  <c r="AC17" i="33"/>
  <c r="V48" i="33" s="1"/>
  <c r="I48" i="33" s="1"/>
  <c r="I52" i="33" s="1"/>
  <c r="J52" i="33" s="1"/>
  <c r="U32" i="21"/>
  <c r="AB32" i="21"/>
  <c r="F12" i="59"/>
  <c r="F11" i="59" s="1"/>
  <c r="F10" i="59" s="1"/>
  <c r="F9" i="59" s="1"/>
  <c r="V13" i="59"/>
  <c r="D16" i="59"/>
  <c r="C15" i="59"/>
  <c r="AA17" i="33"/>
  <c r="S17" i="33"/>
  <c r="J6" i="71"/>
  <c r="J18" i="71" s="1"/>
  <c r="AB7" i="35"/>
  <c r="T38" i="35" s="1"/>
  <c r="G38" i="35" s="1"/>
  <c r="U11" i="70"/>
  <c r="AB11" i="70"/>
  <c r="E8" i="59"/>
  <c r="E7" i="59" s="1"/>
  <c r="E6" i="59" s="1"/>
  <c r="E5" i="59" s="1"/>
  <c r="U5" i="59" s="1"/>
  <c r="U9" i="59"/>
  <c r="U11" i="21"/>
  <c r="AB11" i="21"/>
  <c r="F12" i="40"/>
  <c r="C33" i="59"/>
  <c r="D32" i="59"/>
  <c r="B12" i="59"/>
  <c r="B11" i="59" s="1"/>
  <c r="B10" i="59" s="1"/>
  <c r="B9" i="59" s="1"/>
  <c r="S13" i="59"/>
  <c r="W11" i="21"/>
  <c r="AC11" i="21"/>
  <c r="C48" i="71"/>
  <c r="C33" i="70"/>
  <c r="C33" i="21"/>
  <c r="AA11" i="70"/>
  <c r="S11" i="70"/>
  <c r="S11" i="21"/>
  <c r="AA11" i="21"/>
  <c r="T57" i="59"/>
  <c r="D57" i="59"/>
  <c r="Q75" i="71"/>
  <c r="Q62" i="71"/>
  <c r="AB7" i="70"/>
  <c r="U7" i="70"/>
  <c r="AA7" i="70"/>
  <c r="S7" i="70"/>
  <c r="J12" i="40"/>
  <c r="AC7" i="70"/>
  <c r="W7" i="70"/>
  <c r="AB19" i="33"/>
  <c r="U19" i="33"/>
  <c r="U15" i="33"/>
  <c r="AB15" i="33"/>
  <c r="C24" i="71"/>
  <c r="C10" i="71"/>
  <c r="C5" i="71" s="1"/>
  <c r="C52" i="71"/>
  <c r="F12" i="39"/>
  <c r="H12" i="39"/>
  <c r="J19" i="21"/>
  <c r="F19" i="21"/>
  <c r="H19" i="21"/>
  <c r="AB17" i="21"/>
  <c r="U17" i="21"/>
  <c r="J17" i="21"/>
  <c r="F17" i="21"/>
  <c r="S7" i="21"/>
  <c r="F58" i="15"/>
  <c r="F1" i="15"/>
  <c r="J6" i="15"/>
  <c r="J5" i="15" s="1"/>
  <c r="Q62" i="15"/>
  <c r="C48" i="15"/>
  <c r="Q74" i="15"/>
  <c r="E13" i="3"/>
  <c r="AT6" i="3"/>
  <c r="K22" i="6"/>
  <c r="E31" i="6"/>
  <c r="K26" i="6"/>
  <c r="M26" i="6" s="1"/>
  <c r="I26" i="6" s="1"/>
  <c r="S26" i="6" s="1"/>
  <c r="K19" i="6"/>
  <c r="S6" i="1" s="1"/>
  <c r="K23" i="6"/>
  <c r="M23" i="6" s="1"/>
  <c r="I23" i="6" s="1"/>
  <c r="S23" i="6" s="1"/>
  <c r="K20" i="6"/>
  <c r="K24" i="6"/>
  <c r="M24" i="6" s="1"/>
  <c r="I24" i="6" s="1"/>
  <c r="S24" i="6" s="1"/>
  <c r="K21" i="6"/>
  <c r="K16" i="1"/>
  <c r="M14" i="1"/>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23" i="3"/>
  <c r="E265" i="3"/>
  <c r="AM6" i="3"/>
  <c r="E337" i="3"/>
  <c r="E158" i="3"/>
  <c r="E492" i="3"/>
  <c r="E295" i="3"/>
  <c r="E89" i="3"/>
  <c r="E201" i="3"/>
  <c r="E170" i="3"/>
  <c r="E274" i="3"/>
  <c r="E32" i="3"/>
  <c r="E547" i="3"/>
  <c r="E447" i="3"/>
  <c r="E33" i="3"/>
  <c r="Q6" i="3"/>
  <c r="E119" i="3"/>
  <c r="E500" i="3"/>
  <c r="E34" i="3"/>
  <c r="E444" i="3"/>
  <c r="E407" i="3"/>
  <c r="E383" i="3"/>
  <c r="E550" i="3"/>
  <c r="E247" i="3"/>
  <c r="E136" i="3"/>
  <c r="E568" i="3"/>
  <c r="E85" i="3"/>
  <c r="E539" i="3"/>
  <c r="E332" i="3"/>
  <c r="E245" i="3"/>
  <c r="E166" i="3"/>
  <c r="E102" i="3"/>
  <c r="O6" i="3"/>
  <c r="E25" i="3"/>
  <c r="E204" i="3"/>
  <c r="E258" i="3"/>
  <c r="E207" i="3"/>
  <c r="E479" i="3"/>
  <c r="E449" i="3"/>
  <c r="E43" i="3"/>
  <c r="E196"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443" i="3"/>
  <c r="E78" i="3"/>
  <c r="E296" i="3"/>
  <c r="E249" i="3"/>
  <c r="E460" i="3"/>
  <c r="E463" i="3"/>
  <c r="E426" i="3"/>
  <c r="E75" i="3"/>
  <c r="J6" i="3"/>
  <c r="E97" i="3"/>
  <c r="AE6" i="3"/>
  <c r="E289" i="3"/>
  <c r="E113" i="3"/>
  <c r="E425" i="3"/>
  <c r="E257" i="3"/>
  <c r="E52" i="3"/>
  <c r="E451" i="3"/>
  <c r="U6" i="3"/>
  <c r="E305" i="3"/>
  <c r="E73" i="3"/>
  <c r="E126" i="3"/>
  <c r="E248" i="3"/>
  <c r="E211" i="3"/>
  <c r="E336" i="3"/>
  <c r="Y6" i="3"/>
  <c r="AR6" i="3"/>
  <c r="E466" i="3"/>
  <c r="E65" i="3"/>
  <c r="E51" i="3"/>
  <c r="E513" i="3"/>
  <c r="E198" i="3"/>
  <c r="E345" i="3"/>
  <c r="E281" i="3"/>
  <c r="E72" i="3"/>
  <c r="E290" i="3"/>
  <c r="E440" i="3"/>
  <c r="AF6" i="3"/>
  <c r="E331" i="3"/>
  <c r="E40" i="3"/>
  <c r="E362" i="3"/>
  <c r="E559" i="3"/>
  <c r="E150"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194" i="3"/>
  <c r="E390" i="3"/>
  <c r="E149" i="3"/>
  <c r="E549" i="3"/>
  <c r="I3" i="6"/>
  <c r="E292" i="3"/>
  <c r="E60" i="3"/>
  <c r="E178" i="3"/>
  <c r="E48" i="3"/>
  <c r="E438" i="3"/>
  <c r="E455" i="3"/>
  <c r="E363" i="3"/>
  <c r="E79" i="3"/>
  <c r="E401" i="3"/>
  <c r="E272" i="3"/>
  <c r="E139" i="3"/>
  <c r="E445" i="3"/>
  <c r="E556" i="3"/>
  <c r="E291" i="3"/>
  <c r="E527" i="3"/>
  <c r="E365" i="3"/>
  <c r="E276" i="3"/>
  <c r="E259" i="3"/>
  <c r="E370" i="3"/>
  <c r="E308" i="3"/>
  <c r="E526" i="3"/>
  <c r="E416" i="3"/>
  <c r="E477" i="3"/>
  <c r="E96" i="3"/>
  <c r="E540" i="3"/>
  <c r="E160" i="3"/>
  <c r="E134" i="3"/>
  <c r="E242" i="3"/>
  <c r="AI6" i="3"/>
  <c r="E133" i="3"/>
  <c r="E239" i="3"/>
  <c r="E87" i="3"/>
  <c r="E234" i="3"/>
  <c r="E458" i="3"/>
  <c r="E128" i="3"/>
  <c r="E29" i="3"/>
  <c r="E176" i="3"/>
  <c r="E256"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AO6" i="3"/>
  <c r="E475" i="3"/>
  <c r="E421" i="3"/>
  <c r="E206" i="3"/>
  <c r="E132" i="3"/>
  <c r="E333" i="3"/>
  <c r="E91" i="3"/>
  <c r="E115" i="3"/>
  <c r="E359" i="3"/>
  <c r="E195" i="3"/>
  <c r="E391" i="3"/>
  <c r="E321" i="3"/>
  <c r="E127" i="3"/>
  <c r="E266" i="3"/>
  <c r="E215" i="3"/>
  <c r="I6" i="3"/>
  <c r="E103" i="3"/>
  <c r="E548" i="3"/>
  <c r="E200" i="3"/>
  <c r="Z6" i="3"/>
  <c r="E62" i="3"/>
  <c r="E454" i="3"/>
  <c r="E389" i="3"/>
  <c r="E520" i="3"/>
  <c r="E230" i="3"/>
  <c r="AK6" i="3"/>
  <c r="E143" i="3"/>
  <c r="E413" i="3"/>
  <c r="M6" i="3"/>
  <c r="E241" i="3"/>
  <c r="E69" i="3"/>
  <c r="E446" i="3"/>
  <c r="E152" i="3"/>
  <c r="E437" i="3"/>
  <c r="E46" i="3"/>
  <c r="E221" i="3"/>
  <c r="E457" i="3"/>
  <c r="E31" i="3"/>
  <c r="X6" i="3"/>
  <c r="AA6" i="3"/>
  <c r="AD6" i="3"/>
  <c r="E299" i="3"/>
  <c r="E327" i="3"/>
  <c r="E430" i="3"/>
  <c r="E82" i="3"/>
  <c r="E146" i="3"/>
  <c r="E164" i="3"/>
  <c r="E77" i="3"/>
  <c r="E99" i="3"/>
  <c r="E434" i="3"/>
  <c r="E262" i="3"/>
  <c r="E552" i="3"/>
  <c r="E101" i="3"/>
  <c r="E57" i="3"/>
  <c r="AY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AA7" i="37"/>
  <c r="R42" i="37" s="1"/>
  <c r="S7" i="37"/>
  <c r="AA7" i="35"/>
  <c r="R38" i="35" s="1"/>
  <c r="S7" i="35"/>
  <c r="U7" i="37"/>
  <c r="AB7" i="37"/>
  <c r="T42" i="37" s="1"/>
  <c r="G42" i="37" s="1"/>
  <c r="W7" i="35"/>
  <c r="AC7" i="35"/>
  <c r="V38" i="35" s="1"/>
  <c r="I38" i="35" s="1"/>
  <c r="G43" i="35" s="1"/>
  <c r="H43" i="35" s="1"/>
  <c r="K46" i="36"/>
  <c r="AB7" i="33"/>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C52" i="15"/>
  <c r="C10" i="15"/>
  <c r="C5" i="15" s="1"/>
  <c r="C20" i="11"/>
  <c r="C21" i="11" s="1"/>
  <c r="C22" i="11" s="1"/>
  <c r="C23" i="11" s="1"/>
  <c r="B2" i="11" s="1"/>
  <c r="T48" i="33" l="1"/>
  <c r="G48" i="33" s="1"/>
  <c r="G52" i="33" s="1"/>
  <c r="H52" i="33" s="1"/>
  <c r="J28" i="44"/>
  <c r="J31" i="44" s="1"/>
  <c r="Q58" i="44" s="1"/>
  <c r="D22" i="12"/>
  <c r="C22" i="12" s="1"/>
  <c r="C20" i="12" s="1"/>
  <c r="C47" i="71"/>
  <c r="C60" i="71" s="1"/>
  <c r="J5" i="71"/>
  <c r="J33" i="70"/>
  <c r="F33" i="70"/>
  <c r="H33" i="70"/>
  <c r="T33" i="59"/>
  <c r="D33" i="59"/>
  <c r="F8" i="59"/>
  <c r="F7" i="59" s="1"/>
  <c r="F6" i="59" s="1"/>
  <c r="F5" i="59" s="1"/>
  <c r="V5" i="59" s="1"/>
  <c r="V9" i="59"/>
  <c r="S12" i="40"/>
  <c r="AA12" i="40"/>
  <c r="D15" i="59"/>
  <c r="C14" i="59"/>
  <c r="B8" i="59"/>
  <c r="B7" i="59" s="1"/>
  <c r="B6" i="59" s="1"/>
  <c r="B5" i="59" s="1"/>
  <c r="S5" i="59" s="1"/>
  <c r="S9" i="59"/>
  <c r="D19" i="12"/>
  <c r="C19" i="12" s="1"/>
  <c r="C16" i="12"/>
  <c r="E38" i="46"/>
  <c r="J33" i="21"/>
  <c r="H33" i="21"/>
  <c r="F33" i="21"/>
  <c r="AC12" i="40"/>
  <c r="W12" i="40"/>
  <c r="G39" i="46"/>
  <c r="I39" i="46" s="1"/>
  <c r="C38" i="71"/>
  <c r="AA12" i="39"/>
  <c r="S12" i="39"/>
  <c r="AB12" i="39"/>
  <c r="U12" i="39"/>
  <c r="J18" i="15"/>
  <c r="AA19" i="21"/>
  <c r="S19" i="21"/>
  <c r="AB19" i="21"/>
  <c r="U19" i="21"/>
  <c r="W19" i="21"/>
  <c r="AC19" i="21"/>
  <c r="AC17" i="21"/>
  <c r="W17" i="21"/>
  <c r="S17" i="21"/>
  <c r="AA17" i="21"/>
  <c r="M22" i="6"/>
  <c r="I22" i="6" s="1"/>
  <c r="S22" i="6" s="1"/>
  <c r="S9" i="1"/>
  <c r="C47" i="15"/>
  <c r="C65" i="15" s="1"/>
  <c r="M21" i="6"/>
  <c r="I21" i="6" s="1"/>
  <c r="S21" i="6" s="1"/>
  <c r="S8" i="1"/>
  <c r="M20" i="6"/>
  <c r="I20" i="6" s="1"/>
  <c r="S20" i="6" s="1"/>
  <c r="S7" i="1"/>
  <c r="M19" i="6"/>
  <c r="K27" i="6"/>
  <c r="M16" i="1"/>
  <c r="N16" i="1" s="1"/>
  <c r="C29" i="43" s="1"/>
  <c r="O14" i="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D3" i="6"/>
  <c r="C106" i="9" s="1"/>
  <c r="C107" i="9" s="1"/>
  <c r="C105" i="9" s="1"/>
  <c r="C110" i="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 i="3"/>
  <c r="G33" i="46"/>
  <c r="I33" i="46" s="1"/>
  <c r="C27" i="46" s="1"/>
  <c r="E35" i="46"/>
  <c r="E36" i="46"/>
  <c r="K31" i="9"/>
  <c r="K32" i="9" s="1"/>
  <c r="F67" i="40"/>
  <c r="G65" i="40"/>
  <c r="C50" i="34"/>
  <c r="B3" i="34" s="1"/>
  <c r="B2" i="34" s="1"/>
  <c r="C49" i="34"/>
  <c r="G70" i="39"/>
  <c r="F72" i="39"/>
  <c r="E48" i="33"/>
  <c r="L46" i="36"/>
  <c r="R39" i="35"/>
  <c r="E38" i="35"/>
  <c r="R43" i="37"/>
  <c r="E42" i="37"/>
  <c r="E54" i="34"/>
  <c r="F54" i="34" s="1"/>
  <c r="E53" i="34"/>
  <c r="F53" i="34" s="1"/>
  <c r="I54" i="34"/>
  <c r="J54" i="34" s="1"/>
  <c r="I46" i="37"/>
  <c r="J46" i="37" s="1"/>
  <c r="I47" i="37"/>
  <c r="J47" i="37" s="1"/>
  <c r="I42" i="35"/>
  <c r="J42" i="35" s="1"/>
  <c r="I43" i="35"/>
  <c r="J43" i="35" s="1"/>
  <c r="G46" i="37"/>
  <c r="H46" i="37" s="1"/>
  <c r="G47" i="37"/>
  <c r="H47" i="37" s="1"/>
  <c r="E29" i="46"/>
  <c r="B3" i="11"/>
  <c r="J26" i="15"/>
  <c r="J24" i="15"/>
  <c r="C38" i="15"/>
  <c r="C17" i="71"/>
  <c r="C17" i="15"/>
  <c r="F7" i="67"/>
  <c r="G53" i="33" l="1"/>
  <c r="H53" i="33" s="1"/>
  <c r="R49" i="33"/>
  <c r="C49" i="33" s="1"/>
  <c r="B3" i="33" s="1"/>
  <c r="Q49" i="44"/>
  <c r="Q55" i="44" s="1"/>
  <c r="Q67" i="44"/>
  <c r="B5" i="11"/>
  <c r="B4" i="11"/>
  <c r="C59" i="71"/>
  <c r="C65" i="71"/>
  <c r="J24" i="71"/>
  <c r="J26" i="71"/>
  <c r="V48" i="21"/>
  <c r="I48" i="21" s="1"/>
  <c r="I52" i="21" s="1"/>
  <c r="J52" i="21" s="1"/>
  <c r="W33" i="21"/>
  <c r="AC33" i="21"/>
  <c r="AB33" i="70"/>
  <c r="T48" i="70" s="1"/>
  <c r="G48" i="70" s="1"/>
  <c r="U33" i="70"/>
  <c r="S33" i="70"/>
  <c r="AA33" i="70"/>
  <c r="R48" i="70" s="1"/>
  <c r="S16" i="1"/>
  <c r="T13" i="1" s="1"/>
  <c r="AA33" i="21"/>
  <c r="S33" i="21"/>
  <c r="W33" i="70"/>
  <c r="AC33" i="70"/>
  <c r="V48" i="70" s="1"/>
  <c r="I48" i="70" s="1"/>
  <c r="U33" i="21"/>
  <c r="AB33" i="21"/>
  <c r="T48" i="21" s="1"/>
  <c r="G48" i="21" s="1"/>
  <c r="G52" i="21" s="1"/>
  <c r="H52" i="21" s="1"/>
  <c r="D14" i="59"/>
  <c r="C13" i="59"/>
  <c r="R48" i="21"/>
  <c r="C59" i="15"/>
  <c r="I19" i="6"/>
  <c r="M27" i="6"/>
  <c r="L16" i="1"/>
  <c r="C13" i="43"/>
  <c r="P14" i="1"/>
  <c r="P16" i="1" s="1"/>
  <c r="C13" i="12" s="1"/>
  <c r="O16" i="1"/>
  <c r="E63" i="40"/>
  <c r="D25" i="6"/>
  <c r="D23" i="6"/>
  <c r="D8" i="6"/>
  <c r="K38" i="9"/>
  <c r="C14" i="66" s="1"/>
  <c r="B2" i="66" s="1"/>
  <c r="D26" i="6"/>
  <c r="D12" i="6"/>
  <c r="C22" i="4"/>
  <c r="D13" i="6"/>
  <c r="D28" i="6"/>
  <c r="E68" i="39"/>
  <c r="D22" i="6"/>
  <c r="D5" i="6"/>
  <c r="D21" i="6"/>
  <c r="D14" i="6"/>
  <c r="D24" i="6"/>
  <c r="D9" i="6"/>
  <c r="D15" i="6"/>
  <c r="D10" i="6"/>
  <c r="D20" i="6"/>
  <c r="D11" i="6"/>
  <c r="D29" i="6"/>
  <c r="D19" i="6"/>
  <c r="H20" i="6"/>
  <c r="R20" i="6" s="1"/>
  <c r="R7" i="1" s="1"/>
  <c r="D6" i="6"/>
  <c r="H25" i="6"/>
  <c r="R25" i="6" s="1"/>
  <c r="H22" i="6"/>
  <c r="H26" i="6"/>
  <c r="R26" i="6" s="1"/>
  <c r="H21" i="6"/>
  <c r="H23" i="6"/>
  <c r="H24" i="6"/>
  <c r="E6" i="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H70" i="39"/>
  <c r="G72" i="39"/>
  <c r="H65" i="40"/>
  <c r="G67" i="40"/>
  <c r="E4" i="67"/>
  <c r="C26" i="46"/>
  <c r="B2" i="46" s="1"/>
  <c r="D77" i="9"/>
  <c r="N75" i="9" s="1"/>
  <c r="E7" i="67"/>
  <c r="B7" i="67"/>
  <c r="C48" i="33" l="1"/>
  <c r="T12" i="1"/>
  <c r="T6" i="1"/>
  <c r="T8" i="1"/>
  <c r="T9" i="1"/>
  <c r="R49" i="21"/>
  <c r="C48" i="21" s="1"/>
  <c r="G53" i="21"/>
  <c r="H53" i="21" s="1"/>
  <c r="T10" i="1"/>
  <c r="T11" i="1"/>
  <c r="E48" i="70"/>
  <c r="I53" i="70" s="1"/>
  <c r="J53" i="70" s="1"/>
  <c r="R49" i="70"/>
  <c r="T7" i="1"/>
  <c r="C12" i="59"/>
  <c r="T13" i="59"/>
  <c r="D13" i="59"/>
  <c r="I52" i="70"/>
  <c r="J52" i="70" s="1"/>
  <c r="G53" i="70"/>
  <c r="H53" i="70" s="1"/>
  <c r="G52" i="70"/>
  <c r="H52" i="70" s="1"/>
  <c r="B2" i="33"/>
  <c r="F10" i="12" s="1"/>
  <c r="F8" i="12"/>
  <c r="E48" i="21"/>
  <c r="E52" i="21" s="1"/>
  <c r="F52" i="21" s="1"/>
  <c r="R22" i="6"/>
  <c r="R9" i="1" s="1"/>
  <c r="D27" i="6"/>
  <c r="S19" i="6"/>
  <c r="S27" i="6" s="1"/>
  <c r="I27" i="6"/>
  <c r="H19" i="6"/>
  <c r="D30" i="6"/>
  <c r="D16" i="6"/>
  <c r="C14" i="43"/>
  <c r="C17" i="43"/>
  <c r="C17" i="12"/>
  <c r="C14" i="12"/>
  <c r="R23" i="6"/>
  <c r="R24" i="6"/>
  <c r="R21" i="6"/>
  <c r="R8" i="1" s="1"/>
  <c r="N5" i="54"/>
  <c r="B43" i="63" s="1"/>
  <c r="A6" i="51"/>
  <c r="B7" i="63" s="1"/>
  <c r="A6" i="64"/>
  <c r="A20" i="64"/>
  <c r="A20" i="51"/>
  <c r="B15" i="63" s="1"/>
  <c r="I65" i="40"/>
  <c r="H67" i="40"/>
  <c r="H72" i="39"/>
  <c r="I70" i="39"/>
  <c r="N46" i="36"/>
  <c r="E3" i="67"/>
  <c r="B2" i="67"/>
  <c r="D4" i="46"/>
  <c r="B3" i="46"/>
  <c r="B4" i="46"/>
  <c r="M21" i="71"/>
  <c r="M21" i="15"/>
  <c r="C14" i="15"/>
  <c r="C14" i="71"/>
  <c r="F35" i="71"/>
  <c r="F35" i="15"/>
  <c r="C16" i="44"/>
  <c r="C49" i="21" l="1"/>
  <c r="B3" i="21" s="1"/>
  <c r="B2" i="21" s="1"/>
  <c r="C10" i="12" s="1"/>
  <c r="C15" i="71"/>
  <c r="C18" i="71"/>
  <c r="C15" i="15"/>
  <c r="C18" i="15"/>
  <c r="T16" i="1"/>
  <c r="D31" i="6"/>
  <c r="J20" i="71"/>
  <c r="F62" i="71"/>
  <c r="C61" i="71" s="1"/>
  <c r="C58" i="71" s="1"/>
  <c r="C34" i="71"/>
  <c r="C31" i="71" s="1"/>
  <c r="C20" i="44"/>
  <c r="C17" i="44"/>
  <c r="C49" i="70"/>
  <c r="B3" i="70" s="1"/>
  <c r="B2" i="70" s="1"/>
  <c r="C48" i="70"/>
  <c r="D8" i="12" s="1"/>
  <c r="D10" i="12" s="1"/>
  <c r="C11" i="59"/>
  <c r="D12" i="59"/>
  <c r="E53" i="70"/>
  <c r="F53" i="70" s="1"/>
  <c r="E52" i="70"/>
  <c r="F52" i="70" s="1"/>
  <c r="E53" i="21"/>
  <c r="F53" i="21" s="1"/>
  <c r="I53" i="21"/>
  <c r="J53" i="21" s="1"/>
  <c r="J20" i="15"/>
  <c r="C34" i="15"/>
  <c r="F62" i="15"/>
  <c r="C61" i="15" s="1"/>
  <c r="H27" i="6"/>
  <c r="R19" i="6"/>
  <c r="C18" i="43"/>
  <c r="C19" i="43" s="1"/>
  <c r="C25" i="43" s="1"/>
  <c r="C24" i="43" s="1"/>
  <c r="I5" i="6"/>
  <c r="I6" i="6"/>
  <c r="C18" i="12"/>
  <c r="C23" i="12" s="1"/>
  <c r="O46" i="36"/>
  <c r="J7" i="36" s="1"/>
  <c r="H7" i="36"/>
  <c r="J65" i="40"/>
  <c r="I67" i="40"/>
  <c r="J70" i="39"/>
  <c r="I72" i="39"/>
  <c r="B3" i="67"/>
  <c r="B4" i="67"/>
  <c r="C8" i="12" l="1"/>
  <c r="C19" i="71"/>
  <c r="C20" i="71" s="1"/>
  <c r="C26" i="71" s="1"/>
  <c r="C19" i="15"/>
  <c r="C20" i="15" s="1"/>
  <c r="C26" i="15" s="1"/>
  <c r="C21" i="44"/>
  <c r="C22" i="44" s="1"/>
  <c r="C28" i="44" s="1"/>
  <c r="C10" i="59"/>
  <c r="D11" i="59"/>
  <c r="F7" i="36"/>
  <c r="AA7" i="36" s="1"/>
  <c r="R36" i="36" s="1"/>
  <c r="R27" i="6"/>
  <c r="R6" i="1"/>
  <c r="R16" i="1" s="1"/>
  <c r="K70" i="39"/>
  <c r="J72" i="39"/>
  <c r="U7" i="36"/>
  <c r="AB7" i="36"/>
  <c r="T36" i="36" s="1"/>
  <c r="G36" i="36" s="1"/>
  <c r="AC7" i="36"/>
  <c r="V36" i="36" s="1"/>
  <c r="I36" i="36" s="1"/>
  <c r="W7" i="36"/>
  <c r="J67" i="40"/>
  <c r="K65" i="40"/>
  <c r="C23" i="71" l="1"/>
  <c r="C29" i="71" s="1"/>
  <c r="C13" i="71" s="1"/>
  <c r="C9" i="59"/>
  <c r="D10" i="59"/>
  <c r="S7" i="36"/>
  <c r="R37" i="36"/>
  <c r="E36" i="36"/>
  <c r="K67" i="40"/>
  <c r="L65" i="40"/>
  <c r="G41" i="36"/>
  <c r="H41" i="36" s="1"/>
  <c r="G40" i="36"/>
  <c r="H40" i="36" s="1"/>
  <c r="I40" i="36"/>
  <c r="J40" i="36" s="1"/>
  <c r="I41" i="36"/>
  <c r="J41" i="36" s="1"/>
  <c r="L70" i="39"/>
  <c r="K72" i="39"/>
  <c r="J19" i="71" l="1"/>
  <c r="J17" i="71" s="1"/>
  <c r="C36" i="71"/>
  <c r="Q50" i="71"/>
  <c r="C56" i="71"/>
  <c r="C63" i="71" s="1"/>
  <c r="J14" i="71"/>
  <c r="J22" i="71" s="1"/>
  <c r="Q71" i="71"/>
  <c r="C37" i="71"/>
  <c r="J35" i="71"/>
  <c r="C55" i="71"/>
  <c r="C64" i="71" s="1"/>
  <c r="C8" i="59"/>
  <c r="T9" i="59"/>
  <c r="D9" i="59"/>
  <c r="L72" i="39"/>
  <c r="M70" i="39"/>
  <c r="M65" i="40"/>
  <c r="L67" i="40"/>
  <c r="E40" i="36"/>
  <c r="F40" i="36" s="1"/>
  <c r="E41" i="36"/>
  <c r="F41" i="36" s="1"/>
  <c r="C37" i="36"/>
  <c r="B3" i="36" s="1"/>
  <c r="B2" i="36" s="1"/>
  <c r="C36" i="36"/>
  <c r="C30" i="71" l="1"/>
  <c r="C39" i="71" s="1"/>
  <c r="Q70" i="71" s="1"/>
  <c r="Q69" i="71" s="1"/>
  <c r="J13" i="71"/>
  <c r="J23" i="71" s="1"/>
  <c r="J16" i="71" s="1"/>
  <c r="J25" i="71" s="1"/>
  <c r="C57" i="71"/>
  <c r="C66" i="71" s="1"/>
  <c r="C7" i="59"/>
  <c r="D8" i="59"/>
  <c r="N65" i="40"/>
  <c r="N67" i="40" s="1"/>
  <c r="M67" i="40"/>
  <c r="N70" i="39"/>
  <c r="N72" i="39" s="1"/>
  <c r="M72" i="39"/>
  <c r="J39" i="71" l="1"/>
  <c r="J40" i="71" s="1"/>
  <c r="C6" i="59"/>
  <c r="D7" i="59"/>
  <c r="J9" i="40"/>
  <c r="H9" i="40"/>
  <c r="F9" i="40"/>
  <c r="J9" i="39"/>
  <c r="H9" i="39"/>
  <c r="F9" i="39"/>
  <c r="L51" i="71"/>
  <c r="Q68" i="71" l="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21" i="9"/>
  <c r="D19" i="9"/>
  <c r="L44" i="9" l="1"/>
  <c r="B3" i="39"/>
  <c r="B5" i="3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Q71" i="15" s="1"/>
  <c r="C35" i="44"/>
  <c r="C33" i="44" s="1"/>
  <c r="J21" i="44"/>
  <c r="J19" i="44" s="1"/>
  <c r="C36" i="15"/>
  <c r="J14" i="15"/>
  <c r="J22" i="15" s="1"/>
  <c r="C56" i="15"/>
  <c r="C60" i="15" s="1"/>
  <c r="C58" i="15" s="1"/>
  <c r="J16" i="44"/>
  <c r="J15" i="44" s="1"/>
  <c r="J25" i="44" s="1"/>
  <c r="Q51" i="44"/>
  <c r="B4" i="43"/>
  <c r="B3" i="43"/>
  <c r="Q49" i="15"/>
  <c r="Q72" i="44"/>
  <c r="C39" i="44"/>
  <c r="C43" i="44"/>
  <c r="J13" i="15" l="1"/>
  <c r="J23" i="15" s="1"/>
  <c r="J16" i="15" s="1"/>
  <c r="J25" i="15" s="1"/>
  <c r="J24" i="44"/>
  <c r="J18" i="44" s="1"/>
  <c r="J27" i="44" s="1"/>
  <c r="C37" i="15"/>
  <c r="C30" i="15" s="1"/>
  <c r="C39" i="15" s="1"/>
  <c r="Q70" i="15" s="1"/>
  <c r="Q69" i="15" s="1"/>
  <c r="C63" i="15"/>
  <c r="J35" i="15"/>
  <c r="C32" i="44"/>
  <c r="C42" i="44" s="1"/>
  <c r="Q71" i="44" s="1"/>
  <c r="Q70" i="44" s="1"/>
  <c r="C55" i="15"/>
  <c r="C64" i="15" s="1"/>
  <c r="C45" i="9" l="1"/>
  <c r="C57" i="15"/>
  <c r="C66" i="15" s="1"/>
  <c r="C44" i="44"/>
  <c r="C45" i="44" s="1"/>
  <c r="B2" i="44" s="1"/>
  <c r="J39" i="15"/>
  <c r="J40" i="15" s="1"/>
  <c r="L57" i="15"/>
  <c r="L60" i="15" s="1"/>
  <c r="L51" i="15"/>
  <c r="H14" i="66" l="1"/>
  <c r="B7" i="66" s="1"/>
  <c r="O40" i="9"/>
  <c r="R7" i="54" s="1"/>
  <c r="B52" i="63" s="1"/>
  <c r="D45" i="9"/>
  <c r="F45" i="9"/>
  <c r="E45" i="9"/>
  <c r="Q68" i="15"/>
  <c r="Q67" i="15"/>
  <c r="L46" i="15"/>
  <c r="Q58" i="15"/>
  <c r="L52" i="44"/>
  <c r="L58" i="44" s="1"/>
  <c r="L61" i="44" s="1"/>
  <c r="B3" i="44"/>
  <c r="B5" i="44"/>
  <c r="B4" i="44"/>
  <c r="C7" i="66" l="1"/>
  <c r="D7" i="66"/>
  <c r="Q69" i="44"/>
  <c r="Q59" i="44"/>
  <c r="Q64" i="44" s="1"/>
  <c r="Q68" i="44"/>
  <c r="Q77" i="44" s="1"/>
  <c r="AE8" i="1"/>
  <c r="F41" i="71"/>
  <c r="F68" i="71" l="1"/>
  <c r="C67" i="71" s="1"/>
  <c r="J29" i="71"/>
  <c r="C40" i="71"/>
  <c r="F41" i="15"/>
  <c r="J29" i="15" l="1"/>
  <c r="C40" i="15"/>
  <c r="J42" i="15" s="1"/>
  <c r="J43" i="15" s="1"/>
  <c r="F68" i="15"/>
  <c r="C67" i="15" s="1"/>
  <c r="C70" i="15" s="1"/>
  <c r="Q66" i="71"/>
  <c r="Q76" i="71" s="1"/>
  <c r="Q57" i="71"/>
  <c r="Q63" i="71" s="1"/>
  <c r="Q48" i="71"/>
  <c r="Q54" i="71" s="1"/>
  <c r="C43" i="71"/>
  <c r="B2" i="71"/>
  <c r="B3" i="71" s="1"/>
  <c r="J42" i="71"/>
  <c r="J43" i="71" s="1"/>
  <c r="C70" i="71"/>
  <c r="C46" i="71"/>
  <c r="B2" i="15" l="1"/>
  <c r="B3" i="15" s="1"/>
  <c r="E8" i="12" s="1"/>
  <c r="C43" i="15"/>
  <c r="C46" i="15"/>
  <c r="Q66" i="15"/>
  <c r="Q76" i="15" s="1"/>
  <c r="Q57" i="15"/>
  <c r="Q63" i="15" s="1"/>
  <c r="Q48" i="15"/>
  <c r="Q54" i="15" s="1"/>
  <c r="E10" i="12" l="1"/>
  <c r="C6" i="12" l="1"/>
  <c r="C29" i="12" s="1"/>
  <c r="L10" i="12"/>
  <c r="C24" i="12" l="1"/>
  <c r="C35" i="12" s="1"/>
  <c r="C33" i="12" s="1"/>
  <c r="C28" i="12" l="1"/>
  <c r="C26" i="12" s="1"/>
  <c r="C31" i="12" s="1"/>
  <c r="C30" i="12" s="1"/>
  <c r="C36" i="12" s="1"/>
  <c r="B2" i="12" s="1"/>
  <c r="C19" i="9"/>
  <c r="L43" i="9" l="1"/>
  <c r="D22" i="9"/>
  <c r="G19" i="9"/>
  <c r="G22" i="9" s="1"/>
  <c r="B5" i="12"/>
  <c r="B3" i="12"/>
  <c r="B4" i="12"/>
  <c r="C20" i="9"/>
  <c r="C21" i="9"/>
  <c r="D28" i="9" l="1"/>
  <c r="D27" i="9"/>
  <c r="D30" i="9" s="1"/>
  <c r="N43" i="9"/>
  <c r="G21" i="9"/>
  <c r="G20" i="9"/>
  <c r="C32" i="9"/>
  <c r="C35" i="9" s="1"/>
  <c r="F42" i="9" s="1"/>
  <c r="O38" i="9" l="1"/>
  <c r="K25" i="9" s="1"/>
  <c r="O43" i="9"/>
  <c r="C33" i="9"/>
  <c r="N38" i="9" s="1"/>
  <c r="K28" i="9" s="1"/>
  <c r="C42" i="9"/>
  <c r="N68" i="9" s="1"/>
  <c r="C34" i="9"/>
  <c r="M38" i="9" s="1"/>
  <c r="K27" i="9" s="1"/>
  <c r="K26" i="9" l="1"/>
  <c r="R5" i="54"/>
  <c r="B48" i="63" s="1"/>
  <c r="D63" i="9"/>
  <c r="D70" i="9" s="1"/>
  <c r="D14" i="66"/>
  <c r="F14" i="66" s="1"/>
  <c r="E42" i="9"/>
  <c r="P5" i="54" s="1"/>
  <c r="B46" i="63" s="1"/>
  <c r="D42" i="9"/>
  <c r="Q5" i="54" s="1"/>
  <c r="B47" i="63" s="1"/>
  <c r="C44" i="9"/>
  <c r="G14" i="66" s="1"/>
  <c r="B6" i="66" s="1"/>
  <c r="D6" i="66" s="1"/>
  <c r="N69" i="9" l="1"/>
  <c r="M84" i="9" s="1"/>
  <c r="N84" i="9" s="1"/>
  <c r="C111" i="9"/>
  <c r="C104" i="9" s="1"/>
  <c r="C103" i="9"/>
  <c r="C82" i="9"/>
  <c r="C81" i="9" s="1"/>
  <c r="C85" i="9" s="1"/>
  <c r="C86" i="9" s="1"/>
  <c r="D72" i="9" s="1"/>
  <c r="C6" i="66"/>
  <c r="F44" i="9"/>
  <c r="D73" i="9"/>
  <c r="N73" i="9" s="1"/>
  <c r="D71" i="9"/>
  <c r="D66" i="9" s="1"/>
  <c r="N72" i="9" s="1"/>
  <c r="B5" i="66"/>
  <c r="D5" i="66" s="1"/>
  <c r="C90" i="9"/>
  <c r="C96" i="9"/>
  <c r="C91" i="9" s="1"/>
  <c r="E44" i="9"/>
  <c r="E14" i="66"/>
  <c r="O39" i="9"/>
  <c r="R6" i="54" s="1"/>
  <c r="B50" i="63" s="1"/>
  <c r="D44" i="9"/>
  <c r="M88" i="9"/>
  <c r="N88" i="9" s="1"/>
  <c r="M83" i="9" l="1"/>
  <c r="N83" i="9" s="1"/>
  <c r="M86" i="9"/>
  <c r="N86" i="9" s="1"/>
  <c r="C113" i="9"/>
  <c r="M87" i="9"/>
  <c r="N87" i="9" s="1"/>
  <c r="M85" i="9"/>
  <c r="N85" i="9" s="1"/>
  <c r="C97" i="9"/>
  <c r="C98" i="9" s="1"/>
  <c r="E98" i="9" s="1"/>
  <c r="E99" i="9" s="1"/>
  <c r="C5" i="66"/>
  <c r="K29" i="9"/>
  <c r="K30" i="9" s="1"/>
  <c r="C114" i="9"/>
  <c r="E114" i="9" s="1"/>
  <c r="E115" i="9" s="1"/>
  <c r="C115" i="9" l="1"/>
  <c r="D76" i="9" s="1"/>
  <c r="D74" i="9" s="1"/>
  <c r="N74" i="9" s="1"/>
  <c r="O77" i="9" s="1"/>
  <c r="O78" i="9" s="1"/>
  <c r="N89" i="9"/>
  <c r="O89" i="9" s="1"/>
  <c r="C99" i="9"/>
  <c r="Q77" i="9" l="1"/>
  <c r="O79" i="9"/>
  <c r="O81" i="9" l="1"/>
  <c r="C46" i="9"/>
  <c r="O80" i="9"/>
  <c r="F46" i="9" l="1"/>
  <c r="O41" i="9"/>
  <c r="R8" i="54" s="1"/>
  <c r="B54" i="63" s="1"/>
  <c r="I14" i="66"/>
  <c r="B8" i="66" s="1"/>
  <c r="E46" i="9"/>
  <c r="D46" i="9"/>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<sst xmlns="http://schemas.openxmlformats.org/spreadsheetml/2006/main" count="8142" uniqueCount="3172">
  <si>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</si>
  <si>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</si>
  <si>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</si>
  <si>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</si>
  <si>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</si>
  <si>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</si>
  <si>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</si>
  <si>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</si>
  <si>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</si>
  <si>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</si>
  <si>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</si>
  <si>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</si>
  <si>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</si>
  <si>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</si>
  <si>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</si>
  <si>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</si>
  <si>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</si>
  <si>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</si>
  <si>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</si>
  <si>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</si>
  <si>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</si>
  <si>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</si>
  <si>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</si>
  <si>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</si>
  <si>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</si>
  <si>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</si>
  <si>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</si>
  <si>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</si>
  <si>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</si>
  <si>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</si>
  <si>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</si>
  <si>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</si>
  <si>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</si>
  <si>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</si>
  <si>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</si>
  <si>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</si>
  <si>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</si>
  <si>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</si>
  <si>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</si>
  <si>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</si>
  <si>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</si>
  <si>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</si>
  <si>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</si>
  <si>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</si>
  <si>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</si>
  <si>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</si>
  <si>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</si>
  <si>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</si>
  <si>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</si>
  <si>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</si>
  <si>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</si>
  <si>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</si>
  <si>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</si>
  <si>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</si>
  <si>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</si>
  <si>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</si>
  <si>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</si>
  <si>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</si>
  <si>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</si>
  <si>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</si>
  <si>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</si>
  <si>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</si>
  <si>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</si>
  <si>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</si>
  <si>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</si>
  <si>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</si>
  <si>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</si>
  <si>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</si>
  <si>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</si>
  <si>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</si>
  <si>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</si>
  <si>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</si>
  <si>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</si>
  <si>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</si>
  <si>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</si>
  <si>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</si>
  <si>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</si>
  <si>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</si>
  <si>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</si>
  <si>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</si>
  <si>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</si>
  <si>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</si>
  <si>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</si>
  <si>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</si>
  <si>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</si>
  <si>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</si>
  <si>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</si>
  <si>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</si>
  <si>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</si>
  <si>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</si>
  <si>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</si>
  <si>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</si>
  <si>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</si>
  <si>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</si>
  <si>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</si>
  <si>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</si>
  <si>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</si>
  <si>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</si>
  <si>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</si>
  <si>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</si>
  <si>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</si>
  <si>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</si>
  <si>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</si>
  <si>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</si>
  <si>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</si>
  <si>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</si>
  <si>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</si>
  <si>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</si>
  <si>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</si>
  <si>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</si>
  <si>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</si>
  <si>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</si>
  <si>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</si>
  <si>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</si>
  <si>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</si>
  <si>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</si>
  <si>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</si>
  <si>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</si>
  <si>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</si>
  <si>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</si>
  <si>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</si>
  <si>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</si>
  <si>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</si>
  <si>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</si>
  <si>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</si>
  <si>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</si>
  <si>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</si>
  <si>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</si>
  <si>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</si>
  <si>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</si>
  <si>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</si>
  <si>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</si>
  <si>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</si>
  <si>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</si>
  <si>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</si>
  <si>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</si>
  <si>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</si>
  <si>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</si>
  <si>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</si>
  <si>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</si>
  <si>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</si>
  <si>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</si>
  <si>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</si>
  <si>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</si>
  <si>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</si>
  <si>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</si>
  <si>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</si>
  <si>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</si>
  <si>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</si>
  <si>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</si>
  <si>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</si>
  <si>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</si>
  <si>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</si>
  <si>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</si>
  <si>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</si>
  <si>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</si>
  <si>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</si>
  <si>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</si>
  <si>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</si>
  <si>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</si>
  <si>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</si>
  <si>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</si>
  <si>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</si>
  <si>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</si>
  <si>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</si>
  <si>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</si>
  <si>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</si>
  <si>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</si>
  <si>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</si>
  <si>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</si>
  <si>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</si>
  <si>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</si>
  <si>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</si>
  <si>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</si>
  <si>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</si>
  <si>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</si>
  <si>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</si>
  <si>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</si>
  <si>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</si>
  <si>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</si>
  <si>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</si>
  <si>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</si>
  <si>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</si>
  <si>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</si>
  <si>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</si>
  <si>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</si>
  <si>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</si>
  <si>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</si>
  <si>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</si>
  <si>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</si>
  <si>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</si>
  <si>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</si>
  <si>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</si>
  <si>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</si>
  <si>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</si>
  <si>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</si>
  <si>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</si>
  <si>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</si>
  <si>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</si>
  <si>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</si>
  <si>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</si>
  <si>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</si>
  <si>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</si>
  <si>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</si>
  <si>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</si>
  <si>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</si>
  <si>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</si>
  <si>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</si>
  <si>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</si>
  <si>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</si>
  <si>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</si>
  <si>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</si>
  <si>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</si>
  <si>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</si>
  <si>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</si>
  <si>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</si>
  <si>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</si>
  <si>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</si>
  <si>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</si>
  <si>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</si>
  <si>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</si>
  <si>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</si>
  <si>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</si>
  <si>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</si>
  <si>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</si>
  <si>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</si>
  <si>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</si>
  <si>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</si>
  <si>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</si>
  <si>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</si>
  <si>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</si>
  <si>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</si>
  <si>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</si>
  <si>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</si>
  <si>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</si>
  <si>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</si>
  <si>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</si>
  <si>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</si>
  <si>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</si>
  <si>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</si>
  <si>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</si>
  <si>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</si>
  <si>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</si>
  <si>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</si>
  <si>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</si>
  <si>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</si>
  <si>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</si>
  <si>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</si>
  <si>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</si>
  <si>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</si>
  <si>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</si>
  <si>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</si>
  <si>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</si>
  <si>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</si>
  <si>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</si>
  <si>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</si>
  <si>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</si>
  <si>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</si>
  <si>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</si>
  <si>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</si>
  <si>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</si>
  <si>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</si>
  <si>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</si>
  <si>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</si>
  <si>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</si>
  <si>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</si>
  <si>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</si>
  <si>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</si>
  <si>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</si>
  <si>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</si>
  <si>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</si>
  <si>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</si>
  <si>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</si>
  <si>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</si>
  <si>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</si>
  <si>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</si>
  <si>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</si>
  <si>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</si>
  <si>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</si>
  <si>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</si>
  <si>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</si>
  <si>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</si>
  <si>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</si>
  <si>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</si>
  <si>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</si>
  <si>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</si>
  <si>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</si>
  <si>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</si>
  <si>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</si>
  <si>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</si>
  <si>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</si>
  <si>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</si>
  <si>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</si>
  <si>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</si>
  <si>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</si>
  <si>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</si>
  <si>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</si>
  <si>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</si>
  <si>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</si>
  <si>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</si>
  <si>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</si>
  <si>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</si>
  <si>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</si>
  <si>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</si>
  <si>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</si>
  <si>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</si>
  <si>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</si>
  <si>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</si>
  <si>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</si>
  <si>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</si>
  <si>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</si>
  <si>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</si>
  <si>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</si>
  <si>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</si>
  <si>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</si>
  <si>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</si>
  <si>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</si>
  <si>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</si>
  <si>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</si>
  <si>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</si>
  <si>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</si>
  <si>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</si>
  <si>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</si>
  <si>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</si>
  <si>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</si>
  <si>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</si>
  <si>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</si>
  <si>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</si>
  <si>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</si>
  <si>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</si>
  <si>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</si>
  <si>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</si>
  <si>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</si>
  <si>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</si>
  <si>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</si>
  <si>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</si>
  <si>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</si>
  <si>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</si>
  <si>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</si>
  <si>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</si>
  <si>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</si>
  <si>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</si>
  <si>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</si>
  <si>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</si>
  <si>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</si>
  <si>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</si>
  <si>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</si>
  <si>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</si>
  <si>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</si>
  <si>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</si>
  <si>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</si>
  <si>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</si>
  <si>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</si>
  <si>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</si>
  <si>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</si>
  <si>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</si>
  <si>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</si>
  <si>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</si>
  <si>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</si>
  <si>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</si>
  <si>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</si>
  <si>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</si>
  <si>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</si>
  <si>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</si>
  <si>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</si>
  <si>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</si>
  <si>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</si>
  <si>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</si>
  <si>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</si>
  <si>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</si>
  <si>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</si>
  <si>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</si>
  <si>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</si>
  <si>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</si>
  <si>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</si>
  <si>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</si>
  <si>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</si>
  <si>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</si>
  <si>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</si>
  <si>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</si>
  <si>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</si>
  <si>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</si>
  <si>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</si>
  <si>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</si>
  <si>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</si>
  <si>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</si>
  <si>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</si>
  <si>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</si>
  <si>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</si>
  <si>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</si>
  <si>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</si>
  <si>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</si>
  <si>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</si>
  <si>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</si>
  <si>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</si>
  <si>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</si>
  <si>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</si>
  <si>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</si>
  <si>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</si>
  <si>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</si>
  <si>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</si>
  <si>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</si>
  <si>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</si>
  <si>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</si>
  <si>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</si>
  <si>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</si>
  <si>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</si>
  <si>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</si>
  <si>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</si>
  <si>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</si>
  <si>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</si>
  <si>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</si>
  <si>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</si>
  <si>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</si>
  <si>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</si>
  <si>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</si>
  <si>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</si>
  <si>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</si>
  <si>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</si>
  <si>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</si>
  <si>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</si>
  <si>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</si>
  <si>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</si>
  <si>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</si>
  <si>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</si>
  <si>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</si>
  <si>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</si>
  <si>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</si>
  <si>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</si>
  <si>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</si>
  <si>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</si>
  <si>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</si>
  <si>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</si>
  <si>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</si>
  <si>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</si>
  <si>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</si>
  <si>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</si>
  <si>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</si>
  <si>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</si>
  <si>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</si>
  <si>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</si>
  <si>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</si>
  <si>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</si>
  <si>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</si>
  <si>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</si>
  <si>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</si>
  <si>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</si>
  <si>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</si>
  <si>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</si>
  <si>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</si>
  <si>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</si>
  <si>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</si>
  <si>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</si>
  <si>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</si>
  <si>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</si>
  <si>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</si>
  <si>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</si>
  <si>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</si>
  <si>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</si>
  <si>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</si>
  <si>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</si>
  <si>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</si>
  <si>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</si>
  <si>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</si>
  <si>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</si>
  <si>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</si>
  <si>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</si>
  <si>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</si>
  <si>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</si>
  <si>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</si>
  <si>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</si>
  <si>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</si>
  <si>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</si>
  <si>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</si>
  <si>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</si>
  <si>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</si>
  <si>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</si>
  <si>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</si>
  <si>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</si>
  <si>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</si>
  <si>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</si>
  <si>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</si>
  <si>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</si>
  <si>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</si>
  <si>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</si>
  <si>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</si>
  <si>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</si>
  <si>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</si>
  <si>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</si>
  <si>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</si>
  <si>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</si>
  <si>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</si>
  <si>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</si>
  <si>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</si>
  <si>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</si>
  <si>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</si>
  <si>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</si>
  <si>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</si>
  <si>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</si>
  <si>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</si>
  <si>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</si>
  <si>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</si>
  <si>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</si>
  <si>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</si>
  <si>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</si>
  <si>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</si>
  <si>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</si>
  <si>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</si>
  <si>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</si>
  <si>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</si>
  <si>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</si>
  <si>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</si>
  <si>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</si>
  <si>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</si>
  <si>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</si>
  <si>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</si>
  <si>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</si>
  <si>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</si>
  <si>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</si>
  <si>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</si>
  <si>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</si>
  <si>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</si>
  <si>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</si>
  <si>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</si>
  <si>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</si>
  <si>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</si>
  <si>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</si>
  <si>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</si>
  <si>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</si>
  <si>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</si>
  <si>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</si>
  <si>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</si>
  <si>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</si>
  <si>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</si>
  <si>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</si>
  <si>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</si>
  <si>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</si>
  <si>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</si>
  <si>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</si>
  <si>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</si>
  <si>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</si>
  <si>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</si>
  <si>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</si>
  <si>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</si>
  <si>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</si>
  <si>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</si>
  <si>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</si>
  <si>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</si>
  <si>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</si>
  <si>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</si>
  <si>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</si>
  <si>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</si>
  <si>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</si>
  <si>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</si>
  <si>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</si>
  <si>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</si>
  <si>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</si>
  <si>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</si>
  <si>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</si>
  <si>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</si>
  <si>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</si>
  <si>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</si>
  <si>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</si>
  <si>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</si>
  <si>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</si>
  <si>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</si>
  <si>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</si>
  <si>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</si>
  <si>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</si>
  <si>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</si>
  <si>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</si>
  <si>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</si>
  <si>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</si>
  <si>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</si>
  <si>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</si>
  <si>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</si>
  <si>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</si>
  <si>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</si>
  <si>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</si>
  <si>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</si>
  <si>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</si>
  <si>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</si>
  <si>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</si>
  <si>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</si>
  <si>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</si>
  <si>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</si>
  <si>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</si>
  <si>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</si>
  <si>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</si>
  <si>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</si>
  <si>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</si>
  <si>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</si>
  <si>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</si>
  <si>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</si>
  <si>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</si>
  <si>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</si>
  <si>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</si>
  <si>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</si>
  <si>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</si>
  <si>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</si>
  <si>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</si>
  <si>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</si>
  <si>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</si>
  <si>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</si>
  <si>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</si>
  <si>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</si>
  <si>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</si>
  <si>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</si>
  <si>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</si>
  <si>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</si>
  <si>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</si>
  <si>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</si>
  <si>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</si>
  <si>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</si>
  <si>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</si>
  <si>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</si>
  <si>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</si>
  <si>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</si>
  <si>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</si>
  <si>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</si>
  <si>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</si>
  <si>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</si>
  <si>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</si>
  <si>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</si>
  <si>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</si>
  <si>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</si>
  <si>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</si>
  <si>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</si>
  <si>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</si>
  <si>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</si>
  <si>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</si>
  <si>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</si>
  <si>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</si>
  <si>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</si>
  <si>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</si>
  <si>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</si>
  <si>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</si>
  <si>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</si>
  <si>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</si>
  <si>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</si>
  <si>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</si>
  <si>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</si>
  <si>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</si>
  <si>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</si>
  <si>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</si>
  <si>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</si>
  <si>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</si>
  <si>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</si>
  <si>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</si>
  <si>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</si>
  <si>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</si>
  <si>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</si>
  <si>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</si>
  <si>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</si>
  <si>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</si>
  <si>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</si>
  <si>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</si>
  <si>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</si>
  <si>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</si>
  <si>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</si>
  <si>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</si>
  <si>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</si>
  <si>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</si>
  <si>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</si>
  <si>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</si>
  <si>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</si>
  <si>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</si>
  <si>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</si>
  <si>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</si>
  <si>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</si>
  <si>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</si>
  <si>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</si>
  <si>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</si>
  <si>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</si>
  <si>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</si>
  <si>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</si>
  <si>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</si>
  <si>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</si>
  <si>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</si>
  <si>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</si>
  <si>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</si>
  <si>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</si>
  <si>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</si>
  <si>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</si>
  <si>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</si>
  <si>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</si>
  <si>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</si>
  <si>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</si>
  <si>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</si>
  <si>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</si>
  <si>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</si>
  <si>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</si>
  <si>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</si>
  <si>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</si>
  <si>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</si>
  <si>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</si>
  <si>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</si>
  <si>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</si>
  <si>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</si>
  <si>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</si>
  <si>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</si>
  <si>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</si>
  <si>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</si>
  <si>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</si>
  <si>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</si>
  <si>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</si>
  <si>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</si>
  <si>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</si>
  <si>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</si>
  <si>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</si>
  <si>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</si>
  <si>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</si>
  <si>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</si>
  <si>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</si>
  <si>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</si>
  <si>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</si>
  <si>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</si>
  <si>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</si>
  <si>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</si>
  <si>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</si>
  <si>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</si>
  <si>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</si>
  <si>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</si>
  <si>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</si>
  <si>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</si>
  <si>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</si>
  <si>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</si>
  <si>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</si>
  <si>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</si>
  <si>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</si>
  <si>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</si>
  <si>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</si>
  <si>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</si>
  <si>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</si>
  <si>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</si>
  <si>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</si>
  <si>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</si>
  <si>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</si>
  <si>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</si>
  <si>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</si>
  <si>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</si>
  <si>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</si>
  <si>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</si>
  <si>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</si>
  <si>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</si>
  <si>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</si>
  <si>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</si>
  <si>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</si>
  <si>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</si>
  <si>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</si>
  <si>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</si>
  <si>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</si>
  <si>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</si>
  <si>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</si>
  <si>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</si>
  <si>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</si>
  <si>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</si>
  <si>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</si>
  <si>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</si>
  <si>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</si>
  <si>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</si>
  <si>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</si>
  <si>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</si>
  <si>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</si>
  <si>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</si>
  <si>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</si>
  <si>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</si>
  <si>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</si>
  <si>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</si>
  <si>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</si>
  <si>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</si>
  <si>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</si>
  <si>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</si>
  <si>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</si>
  <si>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</si>
  <si>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</si>
  <si>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</si>
  <si>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</si>
  <si>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</si>
  <si>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</si>
  <si>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</si>
  <si>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</si>
  <si>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</si>
  <si>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</si>
  <si>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</si>
  <si>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</si>
  <si>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</si>
  <si>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</si>
  <si>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</si>
  <si>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</si>
  <si>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</si>
  <si>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</si>
  <si>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</si>
  <si>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</si>
  <si>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</si>
  <si>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</si>
  <si>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</si>
  <si>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</si>
  <si>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</si>
  <si>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</si>
  <si>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</si>
  <si>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</si>
  <si>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</si>
  <si>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</si>
  <si>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</si>
  <si>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</si>
  <si>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</si>
  <si>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</si>
  <si>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</si>
  <si>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</si>
  <si>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</si>
  <si>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</si>
  <si>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</si>
  <si>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</si>
  <si>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</si>
  <si>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</si>
  <si>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</si>
  <si>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</si>
  <si>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</si>
  <si>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</si>
  <si>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</si>
  <si>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</si>
  <si>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</si>
  <si>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</si>
  <si>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</si>
  <si>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</si>
  <si>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</si>
  <si>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</si>
  <si>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</si>
  <si>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</si>
  <si>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</si>
  <si>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</si>
  <si>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</si>
  <si>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</si>
  <si>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</si>
  <si>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</si>
  <si>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</si>
  <si>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</si>
  <si>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</si>
  <si>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</si>
  <si>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</si>
  <si>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</si>
  <si>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</si>
  <si>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</si>
  <si>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</si>
  <si>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</si>
  <si>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</si>
  <si>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</si>
  <si>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</si>
  <si>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</si>
  <si>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</si>
  <si>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</si>
  <si>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</si>
  <si>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</si>
  <si>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</si>
  <si>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</si>
  <si>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</si>
  <si>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</si>
  <si>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</si>
  <si>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</si>
  <si>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</si>
  <si>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</si>
  <si>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</si>
  <si>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</si>
  <si>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</si>
  <si>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</si>
  <si>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</si>
  <si>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</si>
  <si>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</si>
  <si>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</si>
  <si>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</si>
  <si>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</si>
  <si>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</si>
  <si>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</si>
  <si>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</si>
  <si>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</si>
  <si>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</si>
  <si>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</si>
  <si>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</si>
  <si>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</si>
  <si>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</si>
  <si>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</si>
  <si>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</si>
  <si>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</si>
  <si>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</si>
  <si>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</si>
  <si>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</si>
  <si>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</si>
  <si>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</si>
  <si>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</si>
  <si>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</si>
  <si>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</si>
  <si>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</si>
  <si>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</si>
  <si>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</si>
  <si>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</si>
  <si>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</si>
  <si>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</si>
  <si>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</si>
  <si>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</si>
  <si>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</si>
  <si>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</si>
  <si>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</si>
  <si>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</si>
  <si>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</si>
  <si>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</si>
  <si>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</si>
  <si>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</si>
  <si>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</si>
  <si>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</si>
  <si>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</si>
  <si>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</si>
  <si>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</si>
  <si>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</si>
  <si>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</si>
  <si>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</si>
  <si>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</si>
  <si>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</si>
  <si>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</si>
  <si>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</si>
  <si>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</si>
  <si>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</si>
  <si>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</si>
  <si>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</si>
  <si>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</si>
  <si>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</si>
  <si>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</si>
  <si>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</si>
  <si>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</si>
  <si>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</si>
  <si>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</si>
  <si>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</si>
  <si>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</si>
  <si>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</si>
  <si>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</si>
  <si>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</si>
  <si>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</si>
  <si>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</si>
  <si>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</si>
  <si>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</si>
  <si>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</si>
  <si>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</si>
  <si>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</si>
  <si>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</si>
  <si>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</si>
  <si>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</si>
  <si>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</si>
  <si>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</si>
  <si>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</si>
  <si>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</si>
  <si>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</si>
  <si>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</si>
  <si>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</si>
  <si>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</si>
  <si>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</si>
  <si>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</si>
  <si>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</si>
  <si>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</si>
  <si>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</si>
  <si>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</si>
  <si>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</si>
  <si>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</si>
  <si>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</si>
  <si>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</si>
  <si>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</si>
  <si>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</si>
  <si>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</si>
  <si>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</si>
  <si>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</si>
  <si>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</si>
  <si>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</si>
  <si>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</si>
  <si>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</si>
  <si>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</si>
  <si>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</si>
  <si>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</si>
  <si>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</si>
  <si>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</si>
  <si>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</si>
  <si>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</si>
  <si>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</si>
  <si>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</si>
  <si>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</si>
  <si>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</si>
  <si>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</si>
  <si>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</si>
  <si>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</si>
  <si>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</si>
  <si>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</si>
  <si>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</si>
  <si>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</si>
  <si>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</si>
  <si>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</si>
  <si>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</si>
  <si>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</si>
  <si>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</si>
  <si>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</si>
  <si>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</si>
  <si>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</si>
  <si>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</si>
  <si>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</si>
  <si>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</si>
  <si>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</si>
  <si>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</si>
  <si>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</si>
  <si>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</si>
  <si>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</si>
  <si>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</si>
  <si>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</si>
  <si>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</si>
  <si>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</si>
  <si>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</si>
  <si>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</si>
  <si>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</si>
  <si>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</si>
  <si>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</si>
  <si>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</si>
  <si>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</si>
  <si>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</si>
  <si>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</si>
  <si>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</si>
  <si>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</si>
  <si>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</si>
  <si>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</si>
  <si>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</si>
  <si>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</si>
  <si>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</si>
  <si>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</si>
  <si>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</si>
  <si>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</si>
  <si>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</si>
  <si>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</si>
  <si>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</si>
  <si>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</si>
  <si>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</si>
  <si>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</si>
  <si>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</si>
  <si>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</si>
  <si>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</si>
  <si>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</si>
  <si>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</si>
  <si>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</si>
  <si>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</si>
  <si>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</si>
  <si>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</si>
  <si>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</si>
  <si>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</si>
  <si>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</si>
  <si>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</si>
  <si>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</si>
  <si>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</si>
  <si>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</si>
  <si>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</si>
  <si>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</si>
  <si>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</si>
  <si>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</si>
  <si>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</si>
  <si>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</si>
  <si>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</si>
  <si>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</si>
  <si>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</si>
  <si>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</si>
  <si>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</si>
  <si>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</si>
  <si>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</si>
  <si>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</si>
  <si>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</si>
  <si>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</si>
  <si>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</si>
  <si>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</si>
  <si>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</si>
  <si>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</si>
  <si>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</si>
  <si>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</si>
  <si>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</si>
  <si>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</si>
  <si>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</si>
  <si>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</si>
  <si>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</si>
  <si>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</si>
  <si>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</si>
  <si>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</si>
  <si>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</si>
  <si>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</si>
  <si>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</si>
  <si>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</si>
  <si>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</si>
  <si>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</si>
  <si>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</si>
  <si>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</si>
  <si>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</si>
  <si>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</si>
  <si>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</si>
  <si>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</si>
  <si>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</si>
  <si>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</si>
  <si>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</si>
  <si>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</si>
  <si>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</si>
  <si>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</si>
  <si>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</si>
  <si>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</si>
  <si>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</si>
  <si>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</si>
  <si>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</si>
  <si>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</si>
  <si>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</si>
  <si>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</si>
  <si>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</si>
  <si>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</si>
  <si>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</si>
  <si>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</si>
  <si>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</si>
  <si>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</si>
  <si>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</si>
  <si>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</si>
  <si>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</si>
  <si>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</si>
  <si>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</si>
  <si>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</si>
  <si>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</si>
  <si>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</si>
  <si>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</si>
  <si>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</si>
  <si>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</si>
  <si>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</si>
  <si>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</si>
  <si>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</si>
  <si>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</si>
  <si>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</si>
  <si>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</si>
  <si>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</si>
  <si>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</si>
  <si>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</si>
  <si>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</si>
  <si>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</si>
  <si>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</si>
  <si>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</si>
  <si>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</si>
  <si>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</si>
  <si>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</si>
  <si>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</si>
  <si>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</si>
  <si>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</si>
  <si>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</si>
  <si>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</si>
  <si>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</si>
  <si>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</si>
  <si>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</si>
  <si>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</si>
  <si>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</si>
  <si>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</si>
  <si>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</si>
  <si>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</si>
  <si>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</si>
  <si>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</si>
  <si>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</si>
  <si>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</si>
  <si>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</si>
  <si>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</si>
  <si>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</si>
  <si>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</si>
  <si>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</si>
  <si>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</si>
  <si>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</si>
  <si>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</si>
  <si>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</si>
  <si>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</si>
  <si>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</si>
  <si>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</si>
  <si>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</si>
  <si>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</si>
  <si>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</si>
  <si>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</si>
  <si>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</si>
  <si>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</si>
  <si>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</si>
  <si>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</si>
  <si>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</si>
  <si>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</si>
  <si>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</si>
  <si>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</si>
  <si>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</si>
  <si>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</si>
  <si>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</si>
  <si>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</si>
  <si>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</si>
  <si>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</si>
  <si>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</si>
  <si>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</si>
  <si>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</si>
  <si>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</si>
  <si>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</si>
  <si>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</si>
  <si>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</si>
  <si>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</si>
  <si>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</si>
  <si>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</si>
  <si>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</si>
  <si>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</si>
  <si>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</si>
  <si>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</si>
  <si>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</si>
  <si>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</si>
  <si>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</si>
  <si>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</si>
  <si>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</si>
  <si>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</si>
  <si>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</si>
  <si>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</si>
  <si>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</si>
  <si>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</si>
  <si>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</si>
  <si>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</si>
  <si>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</si>
  <si>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</si>
  <si>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</si>
  <si>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</si>
  <si>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</si>
  <si>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</si>
  <si>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</si>
  <si>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</si>
  <si>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</si>
  <si>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</si>
  <si>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</si>
  <si>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</si>
  <si>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</si>
  <si>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</si>
  <si>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</si>
  <si>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</si>
  <si>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</si>
  <si>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</si>
  <si>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</si>
  <si>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</si>
  <si>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</si>
  <si>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</si>
  <si>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</si>
  <si>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</si>
  <si>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</si>
  <si>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</si>
  <si>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</si>
  <si>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</si>
  <si>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</si>
  <si>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</si>
  <si>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</si>
  <si>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</si>
  <si>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</si>
  <si>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</si>
  <si>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</si>
  <si>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</si>
  <si>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</si>
  <si>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</si>
  <si>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</si>
  <si>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</si>
  <si>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</si>
  <si>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</si>
  <si>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</si>
  <si>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</si>
  <si>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</si>
  <si>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</si>
  <si>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</si>
  <si>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</si>
  <si>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</si>
  <si>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</si>
  <si>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</si>
  <si>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</si>
  <si>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</si>
  <si>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</si>
  <si>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</si>
  <si>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</si>
  <si>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</si>
  <si>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</si>
  <si>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</si>
  <si>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</si>
  <si>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</si>
  <si>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</si>
  <si>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</si>
  <si>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</si>
  <si>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</si>
  <si>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</si>
  <si>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</si>
  <si>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</si>
  <si>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</si>
  <si>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</si>
  <si>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</si>
  <si>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</si>
  <si>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</si>
  <si>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</si>
  <si>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</si>
  <si>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</si>
  <si>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</si>
  <si>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</si>
  <si>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</si>
  <si>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</si>
  <si>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</si>
  <si>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</si>
  <si>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</si>
  <si>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</si>
  <si>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</si>
  <si>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</si>
  <si>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</si>
  <si>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</si>
  <si>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</si>
  <si>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</si>
  <si>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</si>
  <si>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</si>
  <si>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</si>
  <si>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</si>
  <si>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</si>
  <si>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</si>
  <si>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</si>
  <si>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</si>
  <si>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</si>
  <si>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</si>
  <si>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</si>
  <si>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</si>
  <si>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</si>
  <si>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</si>
  <si>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</si>
  <si>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</si>
  <si>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</si>
  <si>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</si>
  <si>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</si>
  <si>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</si>
  <si>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</si>
  <si>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</si>
  <si>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</si>
  <si>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</si>
  <si>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</si>
  <si>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</si>
  <si>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</si>
  <si>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</si>
  <si>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</si>
  <si>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</si>
  <si>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</si>
  <si>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</si>
  <si>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</si>
  <si>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</si>
  <si>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</si>
  <si>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</si>
  <si>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</si>
  <si>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</si>
  <si>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</si>
  <si>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</si>
  <si>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</si>
  <si>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</si>
  <si>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</si>
  <si>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</si>
  <si>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</si>
  <si>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</si>
  <si>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</si>
  <si>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</si>
  <si>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</si>
  <si>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</si>
  <si>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</si>
  <si>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</si>
  <si>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</si>
  <si>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</si>
  <si>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</si>
  <si>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</si>
  <si>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</si>
  <si>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</si>
  <si>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</si>
  <si>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</si>
  <si>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</si>
  <si>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</si>
  <si>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</si>
  <si>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</si>
  <si>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</si>
  <si>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</si>
  <si>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</si>
  <si>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</si>
  <si>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</si>
  <si>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</si>
  <si>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</si>
  <si>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</si>
  <si>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</si>
  <si>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</si>
  <si>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</si>
  <si>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</si>
  <si>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</si>
  <si>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</si>
  <si>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</si>
  <si>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</si>
  <si>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</si>
  <si>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</si>
  <si>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</si>
  <si>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</si>
  <si>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</si>
  <si>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</si>
  <si>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</si>
  <si>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</si>
  <si>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</si>
  <si>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</si>
  <si>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</si>
  <si>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</si>
  <si>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</si>
  <si>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</si>
  <si>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</si>
  <si>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</si>
  <si>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</si>
  <si>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</si>
  <si>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</si>
  <si>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</si>
  <si>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</si>
  <si>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</si>
  <si>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</si>
  <si>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</si>
  <si>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</si>
  <si>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</si>
  <si>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</si>
  <si>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</si>
  <si>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</si>
  <si>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</si>
  <si>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</si>
  <si>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</si>
  <si>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</si>
  <si>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</si>
  <si>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</si>
  <si>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</si>
  <si>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</si>
  <si>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</si>
  <si>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</si>
  <si>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</si>
  <si>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</si>
  <si>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</si>
  <si>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</si>
  <si>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</si>
  <si>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</si>
  <si>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</si>
  <si>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</si>
  <si>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</si>
  <si>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</si>
  <si>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</si>
  <si>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</si>
  <si>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</si>
  <si>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</si>
  <si>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</si>
  <si>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</si>
  <si>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</si>
  <si>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</si>
  <si>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</si>
  <si>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</si>
  <si>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</si>
  <si>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</si>
  <si>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</si>
  <si>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</si>
  <si>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</si>
  <si>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</si>
  <si>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</si>
  <si>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</si>
  <si>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</si>
  <si>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</si>
  <si>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</si>
  <si>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</si>
  <si>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</si>
  <si>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</si>
  <si>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</si>
  <si>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</si>
  <si>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</si>
  <si>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</si>
  <si>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</si>
  <si>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</si>
  <si>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</si>
  <si>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</si>
  <si>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</si>
  <si>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</si>
  <si>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</si>
  <si>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</si>
  <si>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</si>
  <si>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</si>
  <si>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</si>
  <si>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</si>
  <si>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</si>
  <si>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</si>
  <si>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</si>
  <si>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</si>
  <si>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</si>
  <si>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</si>
  <si>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</si>
  <si>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</si>
  <si>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</si>
  <si>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</si>
  <si>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</si>
  <si>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</si>
  <si>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</si>
  <si>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</si>
  <si>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</si>
  <si>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</si>
  <si>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</si>
  <si>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</si>
  <si>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</si>
  <si>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</si>
  <si>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</si>
  <si>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</si>
  <si>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</si>
  <si>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</si>
  <si>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</si>
  <si>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</si>
  <si>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</si>
  <si>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</si>
  <si>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</si>
  <si>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</si>
  <si>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</si>
  <si>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</si>
  <si>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</si>
  <si>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</si>
  <si>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</si>
  <si>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</si>
  <si>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</si>
  <si>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</si>
  <si>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</si>
  <si>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</si>
  <si>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</si>
  <si>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</si>
  <si>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</si>
  <si>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</si>
  <si>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</si>
  <si>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</si>
  <si>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</si>
  <si>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</si>
  <si>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</si>
  <si>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</si>
  <si>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</si>
  <si>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</si>
  <si>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</si>
  <si>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</si>
  <si>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</si>
  <si>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</si>
  <si>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</si>
  <si>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</si>
  <si>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</si>
  <si>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</si>
  <si>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</si>
  <si>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</si>
  <si>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</si>
  <si>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</si>
  <si>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</si>
  <si>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</si>
  <si>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</si>
  <si>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</si>
  <si>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</si>
  <si>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</si>
  <si>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</si>
  <si>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</si>
  <si>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</si>
  <si>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</si>
  <si>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</si>
  <si>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</si>
  <si>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</si>
  <si>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</si>
  <si>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</si>
  <si>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</si>
  <si>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</si>
  <si>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</si>
  <si>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</si>
  <si>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</si>
  <si>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</si>
  <si>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</si>
  <si>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</si>
  <si>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</si>
  <si>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</si>
  <si>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</si>
  <si>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</si>
  <si>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</si>
  <si>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</si>
  <si>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</si>
  <si>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</si>
  <si>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</si>
  <si>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</si>
  <si>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</si>
  <si>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</si>
  <si>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</si>
  <si>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</si>
  <si>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</si>
  <si>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</si>
  <si>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</si>
  <si>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</si>
  <si>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</si>
  <si>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</si>
  <si>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</si>
  <si>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</si>
  <si>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</si>
  <si>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</si>
  <si>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</si>
  <si>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</si>
  <si>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</si>
  <si>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</si>
  <si>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</si>
  <si>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</si>
  <si>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</si>
  <si>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</si>
  <si>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</si>
  <si>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</si>
  <si>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</si>
  <si>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</si>
  <si>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</si>
  <si>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</si>
  <si>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</si>
  <si>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</si>
  <si>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</si>
  <si>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</si>
  <si>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</si>
  <si>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</si>
  <si>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</si>
  <si>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</si>
  <si>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</si>
  <si>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</si>
  <si>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</si>
  <si>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</si>
  <si>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</si>
  <si>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</si>
  <si>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</si>
  <si>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</si>
  <si>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</si>
  <si>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</si>
  <si>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</si>
  <si>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</si>
  <si>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</si>
  <si>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</si>
  <si>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</si>
  <si>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</si>
  <si>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</si>
  <si>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</si>
  <si>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</si>
  <si>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</si>
  <si>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</si>
  <si>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</si>
  <si>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</si>
  <si>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</si>
  <si>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</si>
  <si>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</si>
  <si>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</si>
  <si>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</si>
  <si>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</si>
  <si>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</si>
  <si>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</si>
  <si>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</si>
  <si>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</si>
  <si>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</si>
  <si>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</si>
  <si>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</si>
  <si>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</si>
  <si>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</si>
  <si>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</si>
  <si>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</si>
  <si>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</si>
  <si>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</si>
  <si>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</si>
  <si>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</si>
  <si>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</si>
  <si>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</si>
  <si>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</si>
  <si>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</si>
  <si>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</si>
  <si>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</si>
  <si>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</si>
  <si>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</si>
  <si>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</si>
  <si>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</si>
  <si>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</si>
  <si>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</si>
  <si>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</si>
  <si>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</si>
  <si>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</si>
  <si>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</si>
  <si>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</si>
  <si>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</si>
  <si>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</si>
  <si>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</si>
  <si>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</si>
  <si>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</si>
  <si>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</si>
  <si>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</si>
  <si>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</si>
  <si>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</si>
  <si>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</si>
  <si>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</si>
  <si>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</si>
  <si>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</si>
  <si>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</si>
  <si>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</si>
  <si>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</si>
  <si>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</si>
  <si>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</si>
  <si>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</si>
  <si>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</si>
  <si>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</si>
  <si>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</si>
  <si>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</si>
  <si>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</si>
  <si>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</si>
  <si>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</si>
  <si>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</si>
  <si>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</si>
  <si>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</si>
  <si>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</si>
  <si>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</si>
  <si>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</si>
  <si>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</si>
  <si>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</si>
  <si>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</si>
  <si>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</si>
  <si>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</si>
  <si>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</si>
  <si>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</si>
  <si>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</si>
  <si>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</si>
  <si>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</si>
  <si>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</si>
  <si>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</si>
  <si>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</si>
  <si>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</si>
  <si>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</si>
  <si>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</si>
  <si>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</si>
  <si>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</si>
  <si>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</si>
  <si>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</si>
  <si>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</si>
  <si>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</si>
  <si>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</si>
  <si>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</si>
  <si>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</si>
  <si>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</si>
  <si>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</si>
  <si>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</si>
  <si>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</si>
  <si>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</si>
  <si>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</si>
  <si>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</si>
  <si>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</si>
  <si>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</si>
  <si>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</si>
  <si>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</si>
  <si>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</si>
  <si>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</si>
  <si>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</si>
  <si>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</si>
  <si>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</si>
  <si>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</si>
  <si>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</si>
  <si>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</si>
  <si>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</si>
  <si>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</si>
  <si>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</si>
  <si>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</si>
  <si>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</si>
  <si>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</si>
  <si>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</si>
  <si>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</si>
  <si>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</si>
  <si>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</si>
  <si>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</si>
  <si>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</si>
  <si>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</si>
  <si>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</si>
  <si>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</si>
  <si>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</si>
  <si>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</si>
  <si>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</si>
  <si>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</si>
  <si>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</si>
  <si>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</si>
  <si>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</si>
  <si>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</si>
  <si>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</si>
  <si>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</si>
  <si>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</si>
  <si>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</si>
  <si>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</si>
  <si>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</si>
  <si>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</si>
  <si>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</si>
  <si>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</si>
  <si>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</si>
  <si>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</si>
  <si>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</si>
  <si>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</si>
  <si>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</si>
  <si>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</si>
  <si>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</si>
  <si>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</si>
  <si>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</si>
  <si>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</si>
  <si>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</si>
  <si>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</si>
  <si>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</si>
  <si>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</si>
  <si>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</si>
  <si>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</si>
  <si>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</si>
  <si>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</si>
  <si>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</si>
  <si>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</si>
  <si>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</si>
  <si>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</si>
  <si>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</si>
  <si>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</si>
  <si>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</si>
  <si>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</si>
  <si>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</si>
  <si>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</si>
  <si>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</si>
  <si>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</si>
  <si>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</si>
  <si>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</si>
  <si>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</si>
  <si>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</si>
  <si>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</si>
  <si>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</si>
  <si>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</si>
  <si>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</si>
  <si>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</si>
  <si>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</si>
  <si>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</si>
  <si>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</si>
  <si>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</si>
  <si>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</si>
  <si>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</si>
  <si>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</si>
  <si>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</si>
  <si>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</si>
  <si>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</si>
  <si>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</si>
  <si>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</si>
  <si>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</si>
  <si>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</si>
  <si>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</si>
  <si>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</si>
  <si>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</si>
  <si>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</si>
  <si>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</si>
  <si>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</si>
  <si>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</si>
  <si>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</si>
  <si>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</si>
  <si>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</si>
  <si>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</si>
  <si>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</si>
  <si>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</si>
  <si>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</si>
  <si>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</si>
  <si>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</si>
  <si>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</si>
  <si>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</si>
  <si>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</si>
  <si>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</si>
  <si>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</si>
  <si>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</si>
  <si>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</si>
  <si>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</si>
  <si>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</si>
  <si>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</si>
  <si>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</si>
  <si>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</si>
  <si>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</si>
  <si>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</si>
  <si>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</si>
  <si>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</si>
  <si>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</si>
  <si>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</si>
  <si>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</si>
  <si>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</si>
  <si>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</si>
  <si>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</si>
  <si>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</si>
  <si>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</si>
  <si>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</si>
  <si>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</si>
  <si>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</si>
  <si>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</si>
  <si>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</si>
  <si>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</si>
  <si>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</si>
  <si>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</si>
  <si>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</si>
  <si>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</si>
  <si>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</si>
  <si>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</si>
  <si>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</si>
  <si>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</si>
  <si>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</si>
  <si>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</si>
  <si>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</si>
  <si>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</si>
  <si>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</si>
  <si>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</si>
  <si>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</si>
  <si>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</si>
  <si>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</si>
  <si>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</si>
  <si>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</si>
  <si>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</si>
  <si>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</si>
  <si>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</si>
  <si>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</si>
  <si>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</si>
  <si>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</si>
  <si>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</si>
  <si>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</si>
  <si>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</si>
  <si>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</si>
  <si>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</si>
  <si>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</si>
  <si>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</si>
  <si>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</si>
  <si>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</si>
  <si>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</si>
  <si>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</si>
  <si>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</si>
  <si>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</si>
  <si>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</si>
  <si>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</si>
  <si>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</si>
  <si>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</si>
  <si>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</si>
  <si>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</si>
  <si>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</si>
  <si>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</si>
  <si>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</si>
  <si>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</si>
  <si>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</si>
  <si>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</si>
  <si>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</si>
  <si>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</si>
  <si>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</si>
  <si>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</si>
  <si>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</si>
  <si>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</si>
  <si>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</si>
  <si>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</si>
  <si>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</si>
  <si>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</si>
  <si>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</si>
  <si>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</si>
  <si>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</si>
  <si>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</si>
  <si>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</si>
  <si>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</si>
  <si>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</si>
  <si>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</si>
  <si>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</si>
  <si>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</si>
  <si>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</si>
  <si>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</si>
  <si>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</si>
  <si>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</si>
  <si>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</si>
  <si>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</si>
  <si>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</si>
  <si>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</si>
  <si>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</si>
  <si>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</si>
  <si>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</si>
  <si>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</si>
  <si>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</si>
  <si>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</si>
  <si>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</si>
  <si>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</si>
  <si>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</si>
  <si>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</si>
  <si>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</si>
  <si>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</si>
  <si>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</si>
  <si>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</si>
  <si>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</si>
  <si>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</si>
  <si>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</si>
  <si>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</si>
  <si>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</si>
  <si>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</si>
  <si>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</si>
  <si>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</si>
  <si>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</si>
  <si>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</si>
  <si>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</si>
  <si>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</si>
  <si>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</si>
  <si>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</si>
  <si>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</si>
  <si>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</si>
  <si>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</si>
  <si>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</si>
  <si>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</si>
  <si>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</si>
  <si>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</si>
  <si>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</si>
  <si>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</si>
  <si>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</si>
  <si>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</si>
  <si>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</si>
  <si>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</si>
  <si>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</si>
  <si>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</si>
  <si>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</si>
  <si>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</si>
  <si>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</si>
  <si>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</si>
  <si>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</si>
  <si>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</si>
  <si>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</si>
  <si>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</si>
  <si>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</si>
  <si>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</si>
  <si>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</si>
  <si>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</si>
  <si>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</si>
  <si>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</si>
  <si>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</si>
  <si>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</si>
  <si>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</si>
  <si>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</si>
  <si>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</si>
  <si>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</si>
  <si>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</si>
  <si>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</si>
  <si>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</si>
  <si>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</si>
  <si>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</si>
  <si>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</si>
  <si>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</si>
  <si>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</si>
  <si>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</si>
  <si>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</si>
  <si>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</si>
  <si>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</si>
  <si>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</si>
  <si>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</si>
  <si>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</si>
  <si>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</si>
  <si>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</si>
  <si>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</si>
  <si>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</si>
  <si>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</si>
  <si>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</si>
  <si>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</si>
  <si>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</si>
  <si>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</si>
  <si>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</si>
  <si>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</si>
  <si>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</si>
  <si>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</si>
  <si>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</si>
  <si>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</si>
  <si>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</si>
  <si>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</si>
  <si>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</si>
  <si>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</si>
  <si>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</si>
  <si>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</si>
  <si>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</si>
  <si>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</si>
  <si>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</si>
  <si>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</si>
  <si>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</si>
  <si>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</si>
  <si>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</si>
  <si>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</si>
  <si>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</si>
  <si>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</si>
  <si>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</si>
  <si>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</si>
  <si>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</si>
  <si>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</si>
  <si>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</si>
  <si>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</si>
  <si>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</si>
  <si>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</si>
  <si>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</si>
  <si>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</si>
  <si>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</si>
  <si>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</si>
  <si>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</si>
  <si>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</si>
  <si>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</si>
  <si>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</si>
  <si>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</si>
  <si>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</si>
  <si>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</si>
  <si>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</si>
  <si>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</si>
  <si>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</si>
  <si>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</si>
  <si>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</si>
  <si>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</si>
  <si>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</si>
  <si>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</si>
  <si>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</si>
  <si>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</si>
  <si>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</si>
  <si>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</si>
  <si>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</si>
  <si>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</si>
  <si>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</si>
  <si>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</si>
  <si>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</si>
  <si>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</si>
  <si>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</si>
  <si>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</si>
  <si>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</si>
  <si>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</si>
  <si>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</si>
  <si>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</si>
  <si>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</si>
  <si>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</si>
  <si>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</si>
  <si>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</si>
  <si>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</si>
  <si>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</si>
  <si>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</si>
  <si>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</si>
  <si>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</si>
  <si>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</si>
  <si>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</si>
  <si>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</si>
  <si>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</si>
  <si>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</si>
  <si>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</si>
  <si>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</si>
  <si>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</si>
  <si>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</si>
  <si>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</si>
  <si>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</si>
  <si>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</si>
  <si>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</si>
  <si>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</si>
  <si>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</si>
  <si>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</si>
  <si>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</si>
  <si>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</si>
  <si>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</si>
  <si>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</si>
  <si>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</si>
  <si>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</si>
  <si>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</si>
  <si>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</si>
  <si>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</si>
  <si>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</si>
  <si>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</si>
  <si>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</si>
  <si>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</si>
  <si>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</si>
  <si>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</si>
  <si>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</si>
  <si>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</si>
  <si>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</si>
  <si>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</si>
  <si>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</si>
  <si>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</si>
  <si>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</si>
  <si>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</si>
  <si>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</si>
  <si>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</si>
  <si>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</si>
  <si>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</si>
  <si>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</si>
  <si>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</si>
  <si>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</si>
  <si>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</si>
  <si>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</si>
  <si>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</si>
  <si>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</si>
  <si>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</si>
  <si>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</si>
  <si>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</si>
  <si>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</si>
  <si>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</si>
  <si>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</si>
  <si>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</si>
  <si>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</si>
  <si>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</si>
  <si>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</si>
  <si>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</si>
  <si>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</si>
  <si>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</si>
  <si>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</si>
  <si>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</si>
  <si>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</si>
  <si>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</si>
  <si>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</si>
  <si>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</si>
  <si>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</si>
  <si>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</si>
  <si>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</si>
  <si>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</si>
  <si>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</si>
  <si>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</si>
  <si>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</si>
  <si>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</si>
  <si>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</si>
  <si>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</si>
  <si>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</si>
  <si>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</si>
  <si>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</si>
  <si>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</si>
  <si>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</si>
  <si>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</si>
  <si>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</si>
  <si>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</si>
  <si>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</si>
  <si>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</si>
  <si>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</si>
  <si>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</si>
  <si>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</si>
  <si>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</si>
  <si>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</si>
  <si>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</si>
  <si>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</si>
  <si>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</si>
  <si>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</si>
  <si>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</si>
  <si>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</si>
  <si>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</si>
  <si>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</si>
  <si>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</si>
  <si>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</si>
  <si>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</si>
  <si>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</si>
  <si>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</si>
  <si>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</si>
  <si>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</si>
  <si>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</si>
  <si>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</si>
  <si>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</si>
  <si>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</si>
  <si>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</si>
  <si>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</si>
  <si>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</si>
  <si>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</si>
  <si>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</si>
  <si>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</si>
  <si>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</si>
  <si>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</si>
  <si>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</si>
  <si>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</si>
  <si>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</si>
  <si>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</si>
  <si>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</si>
  <si>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</si>
  <si>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</si>
  <si>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</si>
  <si>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</si>
  <si>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</si>
  <si>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</si>
  <si>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</si>
  <si>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</si>
  <si>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</si>
  <si>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</si>
  <si>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</si>
  <si>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</si>
  <si>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</si>
  <si>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</si>
  <si>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</si>
  <si>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</si>
  <si>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</si>
  <si>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</si>
  <si>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</si>
  <si>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</si>
  <si>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</si>
  <si>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</si>
  <si>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</si>
  <si>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</si>
  <si>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</si>
  <si>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</si>
  <si>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</si>
  <si>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</si>
  <si>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</si>
  <si>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</si>
  <si>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</si>
  <si>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</si>
  <si>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</si>
  <si>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</si>
  <si>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</si>
  <si>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</si>
  <si>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</si>
  <si>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</si>
  <si>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</si>
  <si>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</si>
  <si>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</si>
  <si>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</si>
  <si>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</si>
  <si>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</si>
  <si>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</si>
  <si>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</si>
  <si>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</si>
  <si>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</si>
  <si>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</si>
  <si>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</si>
  <si>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</si>
  <si>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</si>
  <si>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</si>
  <si>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</si>
  <si>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</si>
  <si>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</si>
  <si>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</si>
  <si>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</si>
  <si>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</si>
  <si>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</si>
  <si>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</si>
  <si>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</si>
  <si>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</si>
  <si>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</si>
  <si>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</si>
  <si>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</si>
  <si>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</si>
  <si>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</si>
  <si>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</si>
  <si>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</si>
  <si>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</si>
  <si>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</si>
  <si>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</si>
  <si>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</si>
  <si>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</si>
  <si>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</si>
  <si>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</si>
  <si>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</si>
  <si>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</si>
  <si>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</si>
  <si>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</si>
  <si>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</si>
  <si>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</si>
  <si>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</si>
  <si>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</si>
  <si>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</si>
  <si>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</si>
  <si>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</si>
  <si>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</si>
  <si>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</si>
  <si>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</si>
  <si>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</si>
  <si>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</si>
  <si>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</si>
  <si>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</si>
  <si>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</si>
  <si>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</si>
  <si>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</si>
  <si>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</si>
  <si>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</si>
  <si>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</si>
  <si>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</si>
  <si>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</si>
  <si>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</si>
  <si>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</si>
  <si>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</si>
  <si>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</si>
  <si>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</si>
  <si>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</si>
  <si>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</si>
  <si>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</si>
  <si>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</si>
  <si>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</si>
  <si>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</si>
  <si>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</si>
  <si>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</si>
  <si>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</si>
  <si>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</si>
  <si>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</si>
  <si>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</si>
  <si>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</si>
  <si>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</si>
  <si>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</si>
  <si>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</si>
  <si>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</si>
  <si>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</si>
  <si>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</si>
  <si>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</si>
  <si>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</si>
  <si>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</si>
  <si>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</si>
  <si>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</si>
  <si>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</si>
  <si>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</si>
  <si>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</si>
  <si>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</si>
  <si>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</si>
  <si>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</si>
  <si>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</si>
  <si>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</si>
  <si>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</si>
  <si>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</si>
  <si>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</si>
  <si>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</si>
  <si>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</si>
  <si>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</si>
  <si>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</si>
  <si>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</si>
  <si>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</si>
  <si>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</si>
  <si>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</si>
  <si>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</si>
  <si>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</si>
  <si>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</si>
  <si>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</si>
  <si>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</si>
  <si>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</si>
  <si>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</si>
  <si>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</si>
  <si>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</si>
  <si>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</si>
  <si>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</si>
  <si>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</si>
  <si>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</si>
  <si>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</si>
  <si>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</si>
  <si>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</si>
  <si>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</si>
  <si>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</si>
  <si>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</si>
  <si>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</si>
  <si>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</si>
  <si>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</si>
  <si>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</si>
  <si>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</si>
  <si>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</si>
  <si>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</si>
  <si>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</si>
  <si>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</si>
  <si>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</si>
  <si>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</si>
  <si>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</si>
  <si>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</si>
  <si>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</si>
  <si>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</si>
  <si>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</si>
  <si>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</si>
  <si>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</si>
  <si>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</si>
  <si>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</si>
  <si>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</si>
  <si>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</si>
  <si>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</si>
  <si>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</si>
  <si>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</si>
  <si>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</si>
  <si>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</si>
  <si>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</si>
  <si>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</si>
  <si>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</si>
  <si>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</si>
  <si>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</si>
  <si>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</si>
  <si>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</si>
  <si>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</si>
  <si>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</si>
  <si>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</si>
  <si>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</si>
  <si>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</si>
  <si>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</si>
  <si>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</si>
  <si>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</si>
  <si>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</si>
  <si>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</si>
  <si>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</si>
  <si>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</si>
  <si>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</si>
  <si>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</si>
  <si>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</si>
  <si>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</si>
  <si>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</si>
  <si>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</si>
  <si>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</si>
  <si>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</si>
  <si>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</si>
  <si>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</si>
  <si>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</si>
  <si>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</si>
  <si>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</si>
  <si>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</si>
  <si>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</si>
  <si>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</si>
  <si>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</si>
  <si>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</si>
  <si>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</si>
  <si>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</si>
  <si>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</si>
  <si>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</si>
  <si>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</si>
  <si>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</si>
  <si>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</si>
  <si>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</si>
  <si>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</si>
  <si>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</si>
  <si>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</si>
  <si>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</si>
  <si>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</si>
  <si>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</si>
  <si>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</si>
  <si>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</si>
  <si>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</si>
  <si>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</si>
  <si>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</si>
  <si>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</si>
  <si>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</si>
  <si>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</si>
  <si>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</si>
  <si>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</si>
  <si>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</si>
  <si>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</si>
  <si>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</si>
  <si>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</si>
  <si>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</si>
  <si>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</si>
  <si>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</si>
  <si>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</si>
  <si>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</si>
  <si>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</si>
  <si>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</si>
  <si>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</si>
  <si>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</si>
  <si>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</si>
  <si>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</si>
  <si>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</si>
  <si>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</si>
  <si>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</si>
  <si>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</si>
  <si>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</si>
  <si>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</si>
  <si>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</si>
  <si>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</si>
  <si>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</si>
  <si>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</si>
  <si>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</si>
  <si>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</si>
  <si>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</si>
  <si>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</si>
  <si>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</si>
  <si>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</si>
  <si>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</si>
  <si>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</si>
  <si>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</si>
  <si>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</si>
  <si>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</si>
  <si>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</si>
  <si>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</si>
  <si>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</si>
  <si>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</si>
  <si>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</si>
  <si>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</si>
  <si>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</si>
  <si>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</si>
  <si>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</si>
  <si>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</si>
  <si>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</si>
  <si>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</si>
  <si>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</si>
  <si>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</si>
  <si>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</si>
  <si>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</si>
  <si>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</si>
  <si>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</si>
  <si>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</si>
  <si>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</si>
  <si>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</si>
  <si>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</si>
  <si>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</si>
  <si>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</si>
  <si>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</si>
  <si>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</si>
  <si>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</si>
  <si>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</si>
  <si>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</si>
  <si>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</si>
  <si>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</si>
  <si>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</si>
  <si>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</si>
  <si>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</si>
  <si>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</si>
  <si>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</si>
  <si>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</si>
  <si>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</si>
  <si>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</si>
  <si>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</si>
  <si>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</si>
  <si>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</si>
  <si>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</si>
  <si>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</si>
  <si>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</si>
  <si>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</si>
  <si>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</si>
  <si>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</si>
  <si>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</si>
  <si>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</si>
  <si>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</si>
  <si>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</si>
  <si>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</si>
  <si>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</si>
  <si>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</si>
  <si>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</si>
  <si>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</si>
  <si>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</si>
  <si>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</si>
  <si>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</si>
  <si>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</si>
  <si>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</si>
  <si>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</si>
  <si>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</si>
  <si>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</si>
  <si>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</si>
  <si>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</si>
  <si>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</si>
  <si>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</si>
  <si>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</si>
  <si>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</si>
  <si>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</si>
  <si>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</si>
  <si>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</si>
  <si>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</si>
  <si>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</si>
  <si>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</si>
  <si>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</si>
  <si>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</si>
  <si>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</si>
  <si>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</si>
  <si>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</si>
  <si>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</si>
  <si>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</si>
  <si>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</si>
  <si>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</si>
  <si>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</si>
  <si>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</si>
  <si>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</si>
  <si>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</si>
  <si>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</si>
  <si>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</si>
  <si>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</si>
  <si>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</si>
  <si>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</si>
  <si>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</si>
  <si>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</si>
  <si>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</si>
  <si>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</si>
  <si>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</si>
  <si>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</si>
  <si>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</si>
  <si>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</si>
  <si>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</si>
  <si>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</si>
  <si>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</si>
  <si>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</si>
  <si>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</si>
  <si>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</si>
  <si>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</si>
  <si>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</si>
  <si>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</si>
  <si>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</si>
  <si>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</si>
  <si>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</si>
  <si>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</si>
  <si>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</si>
  <si>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</si>
  <si>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</si>
  <si>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</si>
  <si>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</si>
  <si>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</si>
  <si>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</si>
  <si>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</si>
  <si>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</si>
  <si>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</si>
  <si>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</si>
  <si>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</si>
  <si>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</si>
  <si>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</si>
  <si>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</si>
  <si>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</si>
  <si>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</si>
  <si>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</si>
  <si>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</si>
  <si>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</si>
  <si>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</si>
  <si>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</si>
  <si>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</si>
  <si>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</si>
  <si>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</si>
  <si>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</si>
  <si>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</si>
  <si>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</si>
  <si>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</si>
  <si>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</si>
  <si>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</si>
  <si>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</si>
  <si>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</si>
  <si>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</si>
  <si>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</si>
  <si>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</si>
  <si>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</si>
  <si>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</si>
  <si>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</si>
  <si>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</si>
  <si>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</si>
  <si>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</si>
  <si>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</si>
  <si>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</si>
  <si>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</si>
  <si>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</si>
  <si>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</si>
  <si>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</si>
  <si>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</si>
  <si>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</si>
  <si>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</si>
  <si>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</si>
  <si>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</si>
  <si>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</si>
  <si>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</si>
  <si>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</si>
  <si>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</si>
  <si>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</si>
  <si>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</si>
  <si>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</si>
  <si>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</si>
  <si>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</si>
  <si>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</si>
  <si>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</si>
  <si>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</si>
  <si>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</si>
  <si>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</si>
  <si>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</si>
  <si>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</si>
  <si>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</si>
  <si>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</si>
  <si>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</si>
  <si>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</si>
  <si>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</si>
  <si>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</si>
  <si>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</si>
  <si>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</si>
  <si>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</si>
  <si>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</si>
  <si>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</si>
  <si>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</si>
  <si>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</si>
  <si>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</si>
  <si>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</si>
  <si>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</si>
  <si>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</si>
  <si>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</si>
  <si>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</si>
  <si>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</si>
  <si>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</si>
  <si>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</si>
  <si>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</si>
  <si>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</si>
  <si>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</si>
  <si>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</si>
  <si>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</si>
  <si>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</si>
  <si>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</si>
  <si>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</si>
  <si>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</si>
  <si>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</si>
  <si>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</si>
  <si>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</si>
  <si>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</si>
  <si>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</si>
  <si>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</si>
  <si>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</si>
  <si>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</si>
  <si>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</si>
  <si>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</si>
  <si>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</si>
  <si>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</si>
  <si>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</si>
  <si>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</si>
  <si>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</si>
  <si>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</si>
  <si>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</si>
  <si>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</si>
  <si>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</si>
  <si>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</si>
  <si>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</si>
  <si>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</si>
  <si>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</si>
  <si>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</si>
  <si>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</si>
  <si>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</si>
  <si>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</si>
  <si>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</si>
  <si>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</si>
  <si>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</si>
  <si>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</si>
  <si>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</si>
  <si>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</si>
  <si>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</si>
  <si>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</si>
  <si>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</si>
  <si>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</si>
  <si>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</si>
  <si>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</si>
  <si>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</si>
  <si>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</si>
  <si>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</si>
  <si>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</si>
  <si>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</si>
  <si>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</si>
  <si>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</si>
  <si>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</si>
  <si>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</si>
  <si>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</si>
  <si>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</si>
  <si>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</si>
  <si>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</si>
  <si>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</si>
  <si>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</si>
  <si>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</si>
  <si>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</si>
  <si>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</si>
  <si>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</si>
  <si>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</si>
  <si>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</si>
  <si>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</si>
  <si>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</si>
  <si>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</si>
  <si>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</si>
  <si>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</si>
  <si>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</si>
  <si>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</si>
  <si>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</si>
  <si>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</si>
  <si>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</si>
  <si>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</si>
  <si>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</si>
  <si>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</si>
  <si>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</si>
  <si>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</si>
  <si>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</si>
  <si>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</si>
  <si>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</si>
  <si>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</si>
  <si>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</si>
  <si>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</si>
  <si>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</si>
  <si>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</si>
  <si>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</si>
  <si>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</si>
  <si>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</si>
  <si>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</si>
  <si>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</si>
  <si>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</si>
  <si>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</si>
  <si>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</si>
  <si>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</si>
  <si>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</si>
  <si>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</si>
  <si>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</si>
  <si>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</si>
  <si>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</si>
  <si>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</si>
  <si>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</si>
  <si>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</si>
  <si>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</si>
  <si>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</si>
  <si>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</si>
  <si>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</si>
  <si>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</si>
  <si>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</si>
  <si>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</si>
  <si>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</si>
  <si>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</si>
  <si>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</si>
  <si>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</si>
  <si>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</si>
  <si>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</si>
  <si>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</si>
  <si>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</si>
  <si>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</si>
  <si>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</si>
  <si>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</si>
  <si>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</si>
  <si>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</si>
  <si>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</si>
  <si>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</si>
  <si>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</si>
  <si>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</si>
  <si>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</si>
  <si>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</si>
  <si>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</si>
  <si>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</si>
  <si>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</si>
  <si>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</si>
  <si>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</si>
  <si>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</si>
  <si>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</si>
  <si>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</si>
  <si>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</si>
  <si>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</si>
  <si>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</si>
  <si>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</si>
  <si>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</si>
  <si>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</si>
  <si>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</si>
  <si>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</si>
  <si>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</si>
  <si>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</si>
  <si>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</si>
  <si>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</si>
  <si>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</si>
  <si>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</si>
  <si>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</si>
  <si>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</si>
  <si>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</si>
  <si>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</si>
  <si>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</si>
  <si>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</si>
  <si>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</si>
  <si>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</si>
  <si>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</si>
  <si>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</si>
  <si>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</si>
  <si>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</si>
  <si>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</si>
  <si>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</si>
  <si>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</si>
  <si>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</si>
  <si>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</si>
  <si>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</si>
  <si>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</si>
  <si>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</si>
  <si>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</si>
  <si>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</si>
  <si>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</si>
  <si>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</si>
  <si>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</si>
  <si>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</si>
  <si>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</si>
  <si>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</si>
  <si>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</si>
  <si>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</si>
  <si>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</si>
  <si>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</si>
  <si>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</si>
  <si>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</si>
  <si>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</si>
  <si>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</si>
  <si>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</si>
  <si>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</si>
  <si>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</si>
  <si>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</si>
  <si>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</si>
  <si>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</si>
  <si>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</si>
  <si>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</si>
  <si>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</si>
  <si>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</si>
  <si>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</si>
  <si>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</si>
  <si>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</si>
  <si>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</si>
  <si>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</si>
  <si>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</si>
  <si>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</si>
  <si>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</si>
  <si>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</si>
  <si>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</si>
  <si>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</si>
  <si>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</si>
  <si>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</si>
  <si>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</si>
  <si>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</si>
  <si>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</si>
  <si>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</si>
  <si>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</si>
  <si>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</si>
  <si>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</si>
  <si>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</si>
  <si>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</si>
  <si>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</si>
  <si>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</si>
  <si>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</si>
  <si>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</si>
  <si>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</si>
  <si>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</si>
  <si>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</si>
  <si>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</si>
  <si>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</si>
  <si>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</si>
  <si>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</si>
  <si>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</si>
  <si>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</si>
  <si>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</si>
  <si>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</si>
  <si>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</si>
  <si>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</si>
  <si>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</si>
  <si>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</si>
  <si>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</si>
  <si>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</si>
  <si>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</si>
  <si>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</si>
  <si>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</si>
  <si>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</si>
  <si>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</si>
  <si>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</si>
  <si>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</si>
  <si>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</si>
  <si>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</si>
  <si>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浙金信托</t>
    <phoneticPr fontId="6" type="noConversion"/>
  </si>
  <si>
    <t>抵押价格</t>
  </si>
  <si>
    <t>其他：</t>
  </si>
  <si>
    <t>龙里县龙山镇比孟村</t>
    <phoneticPr fontId="3" type="noConversion"/>
  </si>
  <si>
    <t>商业</t>
  </si>
  <si>
    <t>否</t>
  </si>
  <si>
    <t>居住项目</t>
  </si>
  <si>
    <t>无</t>
  </si>
  <si>
    <t>场地平整</t>
  </si>
  <si>
    <t>平整</t>
  </si>
  <si>
    <t>通路</t>
  </si>
  <si>
    <t>通电</t>
  </si>
  <si>
    <t>通讯</t>
  </si>
  <si>
    <t>通上水</t>
  </si>
  <si>
    <t>通下水</t>
  </si>
  <si>
    <t>叠拼</t>
  </si>
  <si>
    <t>地上</t>
  </si>
  <si>
    <t>高层</t>
  </si>
  <si>
    <t>高层</t>
    <phoneticPr fontId="3" type="noConversion"/>
  </si>
  <si>
    <t>配套</t>
    <phoneticPr fontId="3" type="noConversion"/>
  </si>
  <si>
    <t>车库</t>
  </si>
  <si>
    <t>车库</t>
    <phoneticPr fontId="3" type="noConversion"/>
  </si>
  <si>
    <t>高层</t>
    <phoneticPr fontId="7" type="noConversion"/>
  </si>
  <si>
    <t>黔南布衣苗族自治州</t>
    <phoneticPr fontId="6" type="noConversion"/>
  </si>
  <si>
    <t>普通住宅</t>
  </si>
  <si>
    <t>地下</t>
  </si>
  <si>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</si>
  <si>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</si>
  <si>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</si>
  <si>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</si>
  <si>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</si>
  <si>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</si>
  <si>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</si>
  <si>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</si>
  <si>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</si>
  <si>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</si>
  <si>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</si>
  <si>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</si>
  <si>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</si>
  <si>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</si>
  <si>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</si>
  <si>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</si>
  <si>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龙山镇比孟村</t>
  </si>
  <si>
    <t>黔南布依族苗族自治州</t>
  </si>
  <si>
    <t>住宅用地</t>
  </si>
  <si>
    <t>大于或等于1.02并且小于或等于2.2</t>
  </si>
  <si>
    <t>挂牌</t>
  </si>
  <si>
    <t>城镇住宅-普通商品住房用地</t>
  </si>
  <si>
    <t>2020-12-15</t>
  </si>
  <si>
    <t>贵州锦川置业有限公司</t>
  </si>
  <si>
    <t>0星</t>
  </si>
  <si>
    <t>2020-12-09</t>
  </si>
  <si>
    <t>大于或等于1.02并且小于或等于3</t>
  </si>
  <si>
    <t>2020-11-25</t>
  </si>
  <si>
    <t>贵州贵龙实业(集团)有限公司</t>
  </si>
  <si>
    <t>大于或等于1.02并且小于或等于2.5</t>
  </si>
  <si>
    <t>城镇住宅用地</t>
  </si>
  <si>
    <t>2020-09-22</t>
  </si>
  <si>
    <t>1星</t>
  </si>
  <si>
    <t>大于或等于1.02并且小于或等于1.2</t>
  </si>
  <si>
    <t>贵州君悦阳光城置业有限公司</t>
  </si>
  <si>
    <t>大于或等于1.02并且小于或等于1.1</t>
  </si>
  <si>
    <t>2020-06-10</t>
  </si>
  <si>
    <t>贵州龙炀碧桂园房地产开发有限公司</t>
  </si>
  <si>
    <t>2020-04-30</t>
  </si>
  <si>
    <t>贵州筑润置业有限公司</t>
  </si>
  <si>
    <t>2020-04-09</t>
  </si>
  <si>
    <t>龙山镇比孟村、中坝村</t>
  </si>
  <si>
    <t>大于或等于1.02并且小于或等于1.6</t>
  </si>
  <si>
    <t>大于或等于1.02并且小于或等于1.3</t>
  </si>
  <si>
    <t>大于或等于1.02并且小于或等于1.5</t>
  </si>
  <si>
    <t>2019-08-30</t>
  </si>
  <si>
    <t>贵州君悦阳光置业有限公司</t>
  </si>
  <si>
    <t>龙里县龙山镇比孟村</t>
  </si>
  <si>
    <t>其他普通商品住房用地</t>
  </si>
  <si>
    <t>2019-01-14</t>
  </si>
  <si>
    <t>正常</t>
  </si>
  <si>
    <t>楼面地价</t>
  </si>
  <si>
    <t>剩余法-待开发</t>
  </si>
  <si>
    <t>比较法-住宅、综合</t>
  </si>
  <si>
    <t>不动产收益法</t>
  </si>
  <si>
    <t>土地（套用方法）</t>
  </si>
  <si>
    <t>自定义</t>
  </si>
  <si>
    <t>按租金收入计税</t>
  </si>
  <si>
    <t>钢混</t>
  </si>
  <si>
    <t>较差</t>
  </si>
  <si>
    <t>较好</t>
  </si>
  <si>
    <t>贵州君悦阳光城置业有限公司</t>
    <phoneticPr fontId="228" type="noConversion"/>
  </si>
  <si>
    <t>情况3</t>
  </si>
  <si>
    <t>自行开发建设</t>
  </si>
  <si>
    <t>非个人房产</t>
  </si>
  <si>
    <t>仅含出让金</t>
  </si>
  <si>
    <t>商业</t>
    <phoneticPr fontId="3" type="noConversion"/>
  </si>
  <si>
    <t>底商</t>
  </si>
  <si>
    <t>商业</t>
    <phoneticPr fontId="7" type="noConversion"/>
  </si>
  <si>
    <t>燃气</t>
  </si>
  <si>
    <t>融创九宸府</t>
    <phoneticPr fontId="3" type="noConversion"/>
  </si>
  <si>
    <t>合院</t>
  </si>
  <si>
    <t>合院</t>
    <phoneticPr fontId="21" type="noConversion"/>
  </si>
  <si>
    <t>联排</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</si>
  <si>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</si>
  <si>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</si>
  <si>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</si>
  <si>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</si>
  <si>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</si>
  <si>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</si>
  <si>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住宅</t>
    <phoneticPr fontId="21" type="noConversion"/>
  </si>
  <si>
    <t>60-70（含）</t>
  </si>
  <si>
    <t>六通</t>
  </si>
  <si>
    <t>钢混</t>
    <phoneticPr fontId="21" type="noConversion"/>
  </si>
  <si>
    <t>高档</t>
    <phoneticPr fontId="21" type="noConversion"/>
  </si>
  <si>
    <t>专业</t>
  </si>
  <si>
    <t>专业</t>
    <phoneticPr fontId="21" type="noConversion"/>
  </si>
  <si>
    <t>普通</t>
    <phoneticPr fontId="21" type="noConversion"/>
  </si>
  <si>
    <t>六通</t>
    <phoneticPr fontId="21" type="noConversion"/>
  </si>
  <si>
    <t>五通</t>
    <phoneticPr fontId="21" type="noConversion"/>
  </si>
  <si>
    <t>四通</t>
    <phoneticPr fontId="21" type="noConversion"/>
  </si>
  <si>
    <t>三通</t>
    <phoneticPr fontId="21" type="noConversion"/>
  </si>
  <si>
    <t>一般</t>
  </si>
  <si>
    <t>金科龙里东方</t>
    <phoneticPr fontId="3" type="noConversion"/>
  </si>
  <si>
    <t>联排</t>
  </si>
  <si>
    <t>中铁国际生态城</t>
    <phoneticPr fontId="3" type="noConversion"/>
  </si>
  <si>
    <t>售价</t>
  </si>
  <si>
    <t>洋房</t>
    <phoneticPr fontId="21" type="noConversion"/>
  </si>
  <si>
    <t>高层</t>
    <phoneticPr fontId="21" type="noConversion"/>
  </si>
  <si>
    <t>中铁悦龙南山</t>
    <phoneticPr fontId="3" type="noConversion"/>
  </si>
  <si>
    <t>中铁悦龙东郡</t>
    <phoneticPr fontId="3" type="noConversion"/>
  </si>
  <si>
    <t>住宅</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</si>
  <si>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</si>
  <si>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</si>
  <si>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</si>
  <si>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</si>
  <si>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</si>
  <si>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</si>
  <si>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</si>
  <si>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</si>
  <si>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</si>
  <si>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</si>
  <si>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</si>
  <si>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</si>
  <si>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</si>
  <si>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六通</t>
    <phoneticPr fontId="26" type="noConversion"/>
  </si>
  <si>
    <t>五通</t>
    <phoneticPr fontId="26" type="noConversion"/>
  </si>
  <si>
    <t>四通</t>
    <phoneticPr fontId="26" type="noConversion"/>
  </si>
  <si>
    <t>三通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</si>
  <si>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</si>
  <si>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</si>
  <si>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</si>
  <si>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龙里外滩广场</t>
    <phoneticPr fontId="3" type="noConversion"/>
  </si>
  <si>
    <t>商业</t>
    <phoneticPr fontId="26" type="noConversion"/>
  </si>
  <si>
    <t>30-40（含）</t>
  </si>
  <si>
    <t>森林溪畔</t>
    <phoneticPr fontId="3" type="noConversion"/>
  </si>
  <si>
    <t>底商</t>
    <phoneticPr fontId="26" type="noConversion"/>
  </si>
  <si>
    <t>钢混</t>
    <phoneticPr fontId="26" type="noConversion"/>
  </si>
  <si>
    <t>精装</t>
    <phoneticPr fontId="26" type="noConversion"/>
  </si>
  <si>
    <t>五通</t>
    <phoneticPr fontId="26" type="noConversion"/>
  </si>
  <si>
    <t>三通</t>
    <phoneticPr fontId="26" type="noConversion"/>
  </si>
  <si>
    <t>可餐饮</t>
  </si>
  <si>
    <t>可餐饮</t>
    <phoneticPr fontId="26" type="noConversion"/>
  </si>
  <si>
    <t>不可餐饮</t>
    <phoneticPr fontId="26" type="noConversion"/>
  </si>
  <si>
    <t>标准层高</t>
    <phoneticPr fontId="26" type="noConversion"/>
  </si>
  <si>
    <t>超高层高</t>
    <phoneticPr fontId="26" type="noConversion"/>
  </si>
  <si>
    <t>普装</t>
    <phoneticPr fontId="26" type="noConversion"/>
  </si>
  <si>
    <t>简装</t>
    <phoneticPr fontId="26" type="noConversion"/>
  </si>
  <si>
    <t>毛坯</t>
    <phoneticPr fontId="26" type="noConversion"/>
  </si>
  <si>
    <r>
      <t>1</t>
    </r>
    <r>
      <rPr>
        <sz val="11"/>
        <color indexed="8"/>
        <rFont val="宋体"/>
        <family val="3"/>
        <charset val="134"/>
      </rPr>
      <t>层</t>
    </r>
    <phoneticPr fontId="26" type="noConversion"/>
  </si>
  <si>
    <t>1层</t>
  </si>
  <si>
    <t>好</t>
    <phoneticPr fontId="26" type="noConversion"/>
  </si>
  <si>
    <t>较好</t>
    <phoneticPr fontId="26" type="noConversion"/>
  </si>
  <si>
    <t>利息：取LPR加浮动点数</t>
  </si>
  <si>
    <t>龙里药都建材市场</t>
    <phoneticPr fontId="3" type="noConversion"/>
  </si>
  <si>
    <t>联排</t>
    <phoneticPr fontId="3" type="noConversion"/>
  </si>
  <si>
    <t>联排</t>
    <phoneticPr fontId="7" type="noConversion"/>
  </si>
  <si>
    <t>独栋</t>
  </si>
  <si>
    <t>独栋</t>
    <phoneticPr fontId="21" type="noConversion"/>
  </si>
  <si>
    <t>黔南比孟村</t>
  </si>
  <si>
    <t>黔南比孟村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</si>
</sst>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86" fillId="0" borderId="0" xfId="16"/>
    <xf numFmtId="0" fontId="158" fillId="0" borderId="0" xfId="16" applyFont="1"/>
    <xf numFmtId="0" fontId="147" fillId="0" borderId="0" xfId="0" applyFont="1">
      <alignment vertical="center"/>
    </xf>
    <xf numFmtId="0" fontId="86" fillId="6" borderId="0" xfId="16" applyFill="1"/>
    <xf numFmtId="0" fontId="0" fillId="6" borderId="0" xfId="0" applyFill="1">
      <alignment vertical="center"/>
    </xf>
    <xf numFmtId="0" fontId="210" fillId="0" borderId="0" xfId="16" applyFont="1"/>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177" fontId="278" fillId="6" borderId="2" xfId="0" applyNumberFormat="1" applyFont="1" applyFill="1" applyBorder="1" applyAlignment="1" applyProtection="1">
      <alignment vertical="center" wrapText="1"/>
      <protection locked="0"/>
    </xf>
    <xf numFmtId="177" fontId="278"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541658</xdr:colOff>
      <xdr:row>44</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42858" cy="7647620"/>
        </a:xfrm>
        <a:prstGeom prst="rect">
          <a:avLst/>
        </a:prstGeom>
      </xdr:spPr>
    </xdr:pic>
    <xdr:clientData/>
  </xdr:twoCellAnchor>
  <xdr:twoCellAnchor editAs="oneCell">
    <xdr:from>
      <xdr:col>0</xdr:col>
      <xdr:colOff>0</xdr:colOff>
      <xdr:row>47</xdr:row>
      <xdr:rowOff>0</xdr:rowOff>
    </xdr:from>
    <xdr:to>
      <xdr:col>9</xdr:col>
      <xdr:colOff>532562</xdr:colOff>
      <xdr:row>95</xdr:row>
      <xdr:rowOff>94210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6704762" cy="8323810"/>
        </a:xfrm>
        <a:prstGeom prst="rect">
          <a:avLst/>
        </a:prstGeom>
      </xdr:spPr>
    </xdr:pic>
    <xdr:clientData/>
  </xdr:twoCellAnchor>
  <xdr:twoCellAnchor editAs="oneCell">
    <xdr:from>
      <xdr:col>16</xdr:col>
      <xdr:colOff>0</xdr:colOff>
      <xdr:row>0</xdr:row>
      <xdr:rowOff>0</xdr:rowOff>
    </xdr:from>
    <xdr:to>
      <xdr:col>28</xdr:col>
      <xdr:colOff>56115</xdr:colOff>
      <xdr:row>45</xdr:row>
      <xdr:rowOff>18084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285715" cy="7733334"/>
        </a:xfrm>
        <a:prstGeom prst="rect">
          <a:avLst/>
        </a:prstGeom>
      </xdr:spPr>
    </xdr:pic>
    <xdr:clientData/>
  </xdr:twoCellAnchor>
  <xdr:twoCellAnchor editAs="oneCell">
    <xdr:from>
      <xdr:col>13</xdr:col>
      <xdr:colOff>0</xdr:colOff>
      <xdr:row>48</xdr:row>
      <xdr:rowOff>0</xdr:rowOff>
    </xdr:from>
    <xdr:to>
      <xdr:col>26</xdr:col>
      <xdr:colOff>246505</xdr:colOff>
      <xdr:row>87</xdr:row>
      <xdr:rowOff>46784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8229600"/>
          <a:ext cx="9161905" cy="6733334"/>
        </a:xfrm>
        <a:prstGeom prst="rect">
          <a:avLst/>
        </a:prstGeom>
      </xdr:spPr>
    </xdr:pic>
    <xdr:clientData/>
  </xdr:twoCellAnchor>
  <xdr:twoCellAnchor editAs="oneCell">
    <xdr:from>
      <xdr:col>12</xdr:col>
      <xdr:colOff>504825</xdr:colOff>
      <xdr:row>89</xdr:row>
      <xdr:rowOff>66675</xdr:rowOff>
    </xdr:from>
    <xdr:to>
      <xdr:col>26</xdr:col>
      <xdr:colOff>589340</xdr:colOff>
      <xdr:row>132</xdr:row>
      <xdr:rowOff>113373</xdr:rowOff>
    </xdr:to>
    <xdr:pic>
      <xdr:nvPicPr>
        <xdr:cNvPr id="6" name="图片 5"/>
        <xdr:cNvPicPr>
          <a:picLocks noChangeAspect="1"/>
        </xdr:cNvPicPr>
      </xdr:nvPicPr>
      <xdr:blipFill>
        <a:blip xmlns:r="http://schemas.openxmlformats.org/officeDocument/2006/relationships" r:embed="rId5"/>
        <a:stretch>
          <a:fillRect/>
        </a:stretch>
      </xdr:blipFill>
      <xdr:spPr>
        <a:xfrm>
          <a:off x="8734425" y="15325725"/>
          <a:ext cx="9685715" cy="7419048"/>
        </a:xfrm>
        <a:prstGeom prst="rect">
          <a:avLst/>
        </a:prstGeom>
      </xdr:spPr>
    </xdr:pic>
    <xdr:clientData/>
  </xdr:twoCellAnchor>
  <xdr:twoCellAnchor editAs="oneCell">
    <xdr:from>
      <xdr:col>13</xdr:col>
      <xdr:colOff>0</xdr:colOff>
      <xdr:row>134</xdr:row>
      <xdr:rowOff>0</xdr:rowOff>
    </xdr:from>
    <xdr:to>
      <xdr:col>27</xdr:col>
      <xdr:colOff>227372</xdr:colOff>
      <xdr:row>179</xdr:row>
      <xdr:rowOff>103798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22974300"/>
          <a:ext cx="9828572" cy="7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7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黔南布衣苗族自治州龙里县龙山镇比孟村出让国有建设用地使用权抵押价格预评估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崔锴、郑燚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受贵公司委托，我公司对黔南布衣苗族自治州龙里县龙山镇比孟村出让国有建设用地使用权抵押价格进行了预评估。</v>
      </c>
      <c r="AM6" s="2617"/>
    </row>
    <row r="7" spans="1:55" s="2591" customFormat="1">
      <c r="A7" s="2592" t="s">
        <v>2637</v>
      </c>
      <c r="B7" s="2593" t="str">
        <f>'预评函-1'!A6</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2021年4月9日（评估专业人员勘察现场之日）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根据《国有土地使用证》[]，估价对象（分摊）出让国有建设用地使用权面积为178018.61平方米。根据《建设工程规划许可证》[]、《出让合同》[]，估价对象规划建筑面积为331534.86平方米。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178018.61</v>
      </c>
    </row>
    <row r="44" spans="1:2">
      <c r="A44" s="2592" t="s">
        <v>2720</v>
      </c>
      <c r="B44" s="2593" t="str">
        <f>'预评函-2'!O3</f>
        <v>规划建筑面积/㎡</v>
      </c>
    </row>
    <row r="45" spans="1:2">
      <c r="A45" s="2592" t="s">
        <v>2702</v>
      </c>
      <c r="B45" s="2593">
        <f>'预评函-2'!O5</f>
        <v>331534.86</v>
      </c>
    </row>
    <row r="46" spans="1:2">
      <c r="A46" s="2592" t="s">
        <v>2703</v>
      </c>
      <c r="B46" s="2593">
        <f ca="1">'预评函-2'!P5</f>
        <v>1601</v>
      </c>
    </row>
    <row r="47" spans="1:2">
      <c r="A47" s="2592" t="s">
        <v>2704</v>
      </c>
      <c r="B47" s="2593">
        <f ca="1">'预评函-2'!Q5</f>
        <v>860</v>
      </c>
    </row>
    <row r="48" spans="1:2">
      <c r="A48" s="2592" t="s">
        <v>2705</v>
      </c>
      <c r="B48" s="2593">
        <f ca="1">'预评函-2'!R5</f>
        <v>28509</v>
      </c>
    </row>
    <row r="49" spans="1:2">
      <c r="A49" s="2592" t="s">
        <v>2721</v>
      </c>
      <c r="B49" s="2593" t="str">
        <f>'预评函-2'!A6</f>
        <v>抵押价格</v>
      </c>
    </row>
    <row r="50" spans="1:2">
      <c r="A50" s="2592" t="s">
        <v>2706</v>
      </c>
      <c r="B50" s="2593">
        <f ca="1">'预评函-2'!R6</f>
        <v>28509</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27002</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崔锴</v>
      </c>
    </row>
    <row r="70" spans="1:2">
      <c r="A70" s="2592" t="s">
        <v>2670</v>
      </c>
      <c r="B70" s="2599">
        <f ca="1">'预评函-3'!B20</f>
        <v>2010110070</v>
      </c>
    </row>
    <row r="71" spans="1:2">
      <c r="A71" s="2592" t="s">
        <v>2671</v>
      </c>
      <c r="B71" s="2593" t="str">
        <f>'预评函-3'!A21</f>
        <v>郑燚</v>
      </c>
    </row>
    <row r="72" spans="1:2" s="2607" customFormat="1" ht="15" thickBot="1">
      <c r="A72" s="2614" t="s">
        <v>2671</v>
      </c>
      <c r="B72" s="2620">
        <f ca="1">'预评函-3'!B21</f>
        <v>2014110011</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3" sqref="C3"/>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3" t="s">
        <v>1926</v>
      </c>
      <c r="B1" s="3352" t="str">
        <f>IF(B10="北京市","北京市",C10)&amp;F10&amp;B16&amp;"国有建设用地使用权"&amp;B9&amp;"预评估"</f>
        <v>黔南布衣苗族自治州龙里县龙山镇比孟村出让国有建设用地使用权抵押价格预评估</v>
      </c>
      <c r="C1" s="3353"/>
      <c r="D1" s="3353"/>
      <c r="E1" s="3353"/>
      <c r="F1" s="3353"/>
      <c r="G1" s="3353"/>
      <c r="H1" s="3353"/>
      <c r="I1" s="3354"/>
      <c r="J1" s="3069"/>
      <c r="K1" s="2307" t="str">
        <f>IF(B10="北京市","北京市",C10)&amp;F10&amp;B16&amp;"国有建设用地使用权"&amp;B9</f>
        <v>黔南布衣苗族自治州龙里县龙山镇比孟村出让国有建设用地使用权抵押价格</v>
      </c>
      <c r="L1" s="3048"/>
      <c r="M1" s="3048"/>
      <c r="N1" s="3049"/>
      <c r="O1" s="3050"/>
      <c r="P1" s="3049"/>
      <c r="Q1" s="3049"/>
      <c r="R1" s="3049"/>
      <c r="S1" s="3049"/>
      <c r="T1" s="3049"/>
      <c r="U1" s="3049"/>
    </row>
    <row r="2" spans="1:21">
      <c r="A2" s="1584" t="s">
        <v>1927</v>
      </c>
      <c r="B2" s="1752"/>
      <c r="D2" s="3069"/>
      <c r="E2" s="3069"/>
      <c r="F2" s="3069"/>
      <c r="G2" s="3069"/>
      <c r="H2" s="3070"/>
      <c r="I2" s="3071"/>
      <c r="J2" s="3069"/>
      <c r="K2" s="2307" t="str">
        <f>IF(B10="北京市","北京市",C10)&amp;F10&amp;B16&amp;"国有建设用地使用权"</f>
        <v>黔南布衣苗族自治州龙里县龙山镇比孟村出让国有建设用地使用权</v>
      </c>
      <c r="L2" s="3048"/>
      <c r="M2" s="3048"/>
      <c r="N2" s="3049"/>
      <c r="O2" s="3050"/>
      <c r="P2" s="3049"/>
      <c r="Q2" s="3049"/>
      <c r="R2" s="3049"/>
      <c r="S2" s="3049"/>
      <c r="T2" s="3049"/>
      <c r="U2" s="3049"/>
    </row>
    <row r="3" spans="1:21">
      <c r="A3" s="1585" t="s">
        <v>1928</v>
      </c>
      <c r="B3" s="1586">
        <v>44295</v>
      </c>
      <c r="C3" s="2992" t="s">
        <v>1984</v>
      </c>
      <c r="D3" s="1586">
        <f>B3</f>
        <v>44295</v>
      </c>
      <c r="E3" s="3069"/>
      <c r="F3" s="3069"/>
      <c r="G3" s="3069"/>
      <c r="H3" s="3070"/>
      <c r="I3" s="3071"/>
      <c r="J3" s="3069"/>
      <c r="K3" s="3052"/>
      <c r="L3" s="3048"/>
      <c r="M3" s="3048"/>
      <c r="N3" s="3049"/>
      <c r="O3" s="3050"/>
      <c r="P3" s="3049"/>
      <c r="Q3" s="3049"/>
      <c r="R3" s="3049"/>
      <c r="S3" s="3049"/>
      <c r="T3" s="3049"/>
      <c r="U3" s="3049"/>
    </row>
    <row r="4" spans="1:21" ht="15" thickBot="1">
      <c r="A4" s="1588" t="s">
        <v>1929</v>
      </c>
      <c r="B4" s="1753" t="s">
        <v>2993</v>
      </c>
      <c r="C4" s="1756">
        <f ca="1">SUMIF(土地估价师,B4,估价师及机构信息!E3:E16)</f>
        <v>2010110070</v>
      </c>
      <c r="D4" s="1753" t="s">
        <v>2994</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崔锴、郑燚</v>
      </c>
      <c r="L4" s="3048"/>
      <c r="M4" s="3048"/>
      <c r="N4" s="3049"/>
      <c r="O4" s="3050"/>
      <c r="P4" s="3049"/>
      <c r="Q4" s="3049"/>
      <c r="R4" s="3049"/>
      <c r="S4" s="3049"/>
      <c r="T4" s="3049"/>
      <c r="U4" s="3049"/>
    </row>
    <row r="5" spans="1:21" ht="15" thickTop="1">
      <c r="A5" s="1589" t="s">
        <v>1930</v>
      </c>
      <c r="B5" s="1700"/>
      <c r="C5" s="1590"/>
      <c r="D5" s="1591"/>
      <c r="E5" s="3069"/>
      <c r="F5" s="3069"/>
      <c r="G5" s="3069"/>
      <c r="H5" s="3070"/>
      <c r="I5" s="3071"/>
      <c r="J5" s="3069"/>
      <c r="K5" s="3052"/>
      <c r="L5" s="3048"/>
      <c r="M5" s="3048"/>
      <c r="N5" s="3049"/>
      <c r="O5" s="3050"/>
      <c r="P5" s="3049"/>
      <c r="Q5" s="3049"/>
      <c r="R5" s="3049"/>
      <c r="S5" s="3049"/>
      <c r="T5" s="3049"/>
      <c r="U5" s="3049"/>
    </row>
    <row r="6" spans="1:21" ht="26.25">
      <c r="A6" s="1587" t="s">
        <v>2686</v>
      </c>
      <c r="B6" s="1700" t="s">
        <v>2995</v>
      </c>
      <c r="C6" s="1675"/>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2687</v>
      </c>
      <c r="B7" s="1700"/>
      <c r="C7" s="1675"/>
      <c r="D7" s="1592"/>
      <c r="E7" s="3069"/>
      <c r="F7" s="3069"/>
      <c r="G7" s="3069"/>
      <c r="H7" s="3070"/>
      <c r="I7" s="3071"/>
      <c r="J7" s="3069"/>
      <c r="K7" s="3052"/>
      <c r="L7" s="3048"/>
      <c r="M7" s="3048"/>
      <c r="N7" s="3049"/>
      <c r="O7" s="3050"/>
      <c r="P7" s="3049"/>
      <c r="Q7" s="3049"/>
      <c r="R7" s="3049"/>
      <c r="S7" s="3049"/>
      <c r="T7" s="3049"/>
      <c r="U7" s="3049"/>
    </row>
    <row r="8" spans="1:21">
      <c r="A8" s="2993" t="s">
        <v>1931</v>
      </c>
      <c r="B8" s="1594" t="s">
        <v>2945</v>
      </c>
      <c r="C8" s="1595"/>
      <c r="D8" s="3358" t="s">
        <v>1933</v>
      </c>
      <c r="E8" s="1754" t="s">
        <v>2996</v>
      </c>
      <c r="F8" s="1596"/>
      <c r="G8" s="3070"/>
      <c r="H8" s="3070"/>
      <c r="I8" s="3073"/>
      <c r="J8" s="3069"/>
      <c r="K8" s="3052"/>
      <c r="L8" s="3048"/>
      <c r="M8" s="3048"/>
      <c r="N8" s="3049"/>
      <c r="O8" s="3050"/>
      <c r="P8" s="3049"/>
      <c r="Q8" s="3049"/>
      <c r="R8" s="3049"/>
      <c r="S8" s="3049"/>
      <c r="T8" s="3049"/>
      <c r="U8" s="3049"/>
    </row>
    <row r="9" spans="1:21" ht="15" thickBot="1">
      <c r="A9" s="2994" t="s">
        <v>1932</v>
      </c>
      <c r="B9" s="1597" t="s">
        <v>2996</v>
      </c>
      <c r="C9" s="1598"/>
      <c r="D9" s="3359"/>
      <c r="E9" s="1597" t="s">
        <v>2833</v>
      </c>
      <c r="F9" s="1661"/>
      <c r="G9" s="3074"/>
      <c r="H9" s="3074"/>
      <c r="I9" s="3075"/>
      <c r="J9" s="3069"/>
      <c r="K9" s="3052"/>
      <c r="L9" s="3048"/>
      <c r="M9" s="3048"/>
      <c r="N9" s="3049"/>
      <c r="O9" s="3050"/>
      <c r="P9" s="3049"/>
      <c r="Q9" s="3049"/>
      <c r="R9" s="3049"/>
      <c r="S9" s="3049"/>
      <c r="T9" s="3049"/>
      <c r="U9" s="3049"/>
    </row>
    <row r="10" spans="1:21" ht="29.25" thickTop="1">
      <c r="A10" s="2995" t="s">
        <v>1988</v>
      </c>
      <c r="B10" s="1637" t="s">
        <v>2997</v>
      </c>
      <c r="C10" s="1599" t="s">
        <v>3018</v>
      </c>
      <c r="D10" s="1591"/>
      <c r="E10" s="1600" t="s">
        <v>1935</v>
      </c>
      <c r="F10" s="1601" t="s">
        <v>2998</v>
      </c>
      <c r="G10" s="1659"/>
      <c r="H10" s="1660"/>
      <c r="I10" s="1591"/>
      <c r="J10" s="3069"/>
      <c r="K10" s="3052"/>
      <c r="L10" s="3048"/>
      <c r="M10" s="3048"/>
      <c r="N10" s="3049"/>
      <c r="O10" s="3050"/>
      <c r="P10" s="3049"/>
      <c r="Q10" s="3049"/>
      <c r="R10" s="3049"/>
      <c r="S10" s="3049"/>
      <c r="T10" s="3049"/>
      <c r="U10" s="3049"/>
    </row>
    <row r="11" spans="1:21">
      <c r="A11" s="2996" t="s">
        <v>1989</v>
      </c>
      <c r="B11" s="1616"/>
      <c r="C11" s="1602"/>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55"/>
      <c r="C12" s="3356"/>
      <c r="D12" s="3357"/>
      <c r="E12" s="1617" t="s">
        <v>2050</v>
      </c>
      <c r="F12" s="3373" t="s">
        <v>2867</v>
      </c>
      <c r="G12" s="3374"/>
      <c r="H12" s="3374"/>
      <c r="I12" s="3375"/>
      <c r="J12" s="3069"/>
      <c r="K12" s="3052"/>
      <c r="L12" s="3048"/>
      <c r="M12" s="3048"/>
      <c r="N12" s="3049"/>
      <c r="O12" s="3050"/>
      <c r="P12" s="3049"/>
      <c r="Q12" s="3049"/>
      <c r="R12" s="3049"/>
      <c r="S12" s="3049"/>
      <c r="T12" s="3049"/>
      <c r="U12" s="3049"/>
    </row>
    <row r="13" spans="1:21">
      <c r="A13" s="1608" t="s">
        <v>2048</v>
      </c>
      <c r="B13" s="3355"/>
      <c r="C13" s="3356"/>
      <c r="D13" s="3357"/>
      <c r="E13" s="1617" t="s">
        <v>2050</v>
      </c>
      <c r="F13" s="3373" t="s">
        <v>2868</v>
      </c>
      <c r="G13" s="3374"/>
      <c r="H13" s="3374"/>
      <c r="I13" s="3375"/>
      <c r="J13" s="3069"/>
      <c r="K13" s="3052"/>
      <c r="L13" s="3048"/>
      <c r="M13" s="3048"/>
      <c r="N13" s="3049"/>
      <c r="O13" s="3050"/>
      <c r="P13" s="3049"/>
      <c r="Q13" s="3049"/>
      <c r="R13" s="3049"/>
      <c r="S13" s="3049"/>
      <c r="T13" s="3049"/>
      <c r="U13" s="3049"/>
    </row>
    <row r="14" spans="1:21">
      <c r="A14" s="1585" t="s">
        <v>2051</v>
      </c>
      <c r="B14" s="1617"/>
      <c r="C14" s="1755"/>
      <c r="D14" s="1651" t="str">
        <f>IF(C14="不一致","是否符合证载地类范围","")</f>
        <v/>
      </c>
      <c r="E14" s="1617"/>
      <c r="F14" s="1701"/>
      <c r="G14" s="1646"/>
      <c r="H14" s="1646"/>
      <c r="I14" s="1748"/>
      <c r="J14" s="3069"/>
      <c r="K14" s="3052"/>
      <c r="L14" s="3048"/>
      <c r="M14" s="3048"/>
      <c r="N14" s="3049"/>
      <c r="O14" s="3050"/>
      <c r="P14" s="3049"/>
      <c r="Q14" s="3049"/>
      <c r="R14" s="3049"/>
      <c r="S14" s="3049"/>
      <c r="T14" s="3049"/>
      <c r="U14" s="3049"/>
    </row>
    <row r="15" spans="1:21" hidden="1">
      <c r="A15" s="2484"/>
      <c r="B15" s="1587"/>
      <c r="C15" s="1587"/>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2940</v>
      </c>
      <c r="C16" s="1617" t="s">
        <v>1937</v>
      </c>
      <c r="D16" s="2485" t="s">
        <v>1938</v>
      </c>
      <c r="E16" s="1640" t="s">
        <v>2999</v>
      </c>
      <c r="F16" s="1640"/>
      <c r="G16" s="1640" t="s">
        <v>35</v>
      </c>
      <c r="H16" s="1640"/>
      <c r="I16" s="1607" t="s">
        <v>1943</v>
      </c>
      <c r="J16" s="3069"/>
      <c r="K16" s="2308" t="str">
        <f>IF(D17="","",D16&amp;TEXT(D17,"yyyy年m月d日;;"))</f>
        <v>住宅2090年10月9日</v>
      </c>
      <c r="L16" s="1617" t="str">
        <f>IF(OR(K16="",M16=""),"","、")</f>
        <v>、</v>
      </c>
      <c r="M16" s="2308" t="str">
        <f>IF(E17="","",E16&amp;TEXT(E17,"yyyy年m月d日;;"))</f>
        <v>商业2060年10月9日</v>
      </c>
      <c r="N16" s="1617" t="str">
        <f>IF(OR(M16="",O16=""),"","、")</f>
        <v/>
      </c>
      <c r="O16" s="2308" t="str">
        <f>IF(F17="","",F16&amp;TEXT(F17,"yyyy年m月d日;;"))</f>
        <v/>
      </c>
      <c r="P16" s="1617" t="str">
        <f>IF(OR(O16="",Q16=""),"","、")</f>
        <v/>
      </c>
      <c r="Q16" s="2308" t="str">
        <f>IF(G17="","",G16&amp;TEXT(G17,"yyyy年m月d日;;"))</f>
        <v>地下车库2070年10月9日</v>
      </c>
      <c r="R16" s="1617" t="str">
        <f>IF(OR(Q16="",S16=""),"","、")</f>
        <v/>
      </c>
      <c r="S16" s="2308" t="str">
        <f>IF(H17="","",H16&amp;TEXT(H17,"yyyy年m月d日;;"))</f>
        <v/>
      </c>
      <c r="T16" s="1617" t="str">
        <f>IF(OR(S16="",U16=""),"","、")</f>
        <v/>
      </c>
      <c r="U16" s="2308" t="str">
        <f>IF(I17="","",I16&amp;TEXT(I17,"yyyy年m月d日;;"))</f>
        <v/>
      </c>
    </row>
    <row r="17" spans="1:21">
      <c r="A17" s="1677"/>
      <c r="B17" s="1604"/>
      <c r="C17" s="2998" t="s">
        <v>1944</v>
      </c>
      <c r="D17" s="1618">
        <v>69680</v>
      </c>
      <c r="E17" s="1618">
        <v>58723</v>
      </c>
      <c r="F17" s="1618"/>
      <c r="G17" s="1618">
        <v>62375</v>
      </c>
      <c r="H17" s="1618"/>
      <c r="I17" s="1618"/>
      <c r="J17" s="3069"/>
      <c r="K17" s="3047" t="str">
        <f>CONCATENATE(K16,L16,M16,N16,O16,P16,Q16,R16,S16,T16,,U16)</f>
        <v>住宅2090年10月9日、商业2060年10月9日地下车库2070年10月9日</v>
      </c>
      <c r="L17" s="3048"/>
      <c r="M17" s="3048"/>
      <c r="N17" s="3049"/>
      <c r="O17" s="3050"/>
      <c r="P17" s="3049"/>
      <c r="Q17" s="3049"/>
      <c r="R17" s="3049"/>
      <c r="S17" s="3049"/>
      <c r="T17" s="3049"/>
      <c r="U17" s="3049"/>
    </row>
    <row r="18" spans="1:21">
      <c r="A18" s="1677"/>
      <c r="B18" s="1604"/>
      <c r="C18" s="2998" t="s">
        <v>1945</v>
      </c>
      <c r="D18" s="1605">
        <v>70</v>
      </c>
      <c r="E18" s="1605">
        <v>40</v>
      </c>
      <c r="F18" s="1605"/>
      <c r="G18" s="1605">
        <v>50</v>
      </c>
      <c r="H18" s="1605"/>
      <c r="I18" s="1605"/>
      <c r="J18" s="3069"/>
      <c r="K18" s="3052"/>
      <c r="L18" s="3048"/>
      <c r="M18" s="3048"/>
      <c r="N18" s="3049"/>
      <c r="O18" s="3050"/>
      <c r="P18" s="3049"/>
      <c r="Q18" s="3049"/>
      <c r="R18" s="3049"/>
      <c r="S18" s="3049"/>
      <c r="T18" s="3049"/>
      <c r="U18" s="3049"/>
    </row>
    <row r="19" spans="1:21">
      <c r="A19" s="1677"/>
      <c r="B19" s="1604"/>
      <c r="C19" s="1584" t="s">
        <v>1946</v>
      </c>
      <c r="D19" s="1672">
        <f>IF(B16="出让",IF(D17="","",ROUNDDOWN(MIN((D17-$D$3)/365,D18),2)),D18)</f>
        <v>69.540000000000006</v>
      </c>
      <c r="E19" s="1606">
        <f>IF(B16="出让",IF(E17="","",ROUNDDOWN(MIN((E17-$D$3)/365,E18),2)),E18)</f>
        <v>39.520000000000003</v>
      </c>
      <c r="F19" s="1606" t="str">
        <f>IF(B16="出让",IF(F17="","",ROUNDDOWN(MIN((F17-$D$3)/365,F18),2)),F18)</f>
        <v/>
      </c>
      <c r="G19" s="1606">
        <f>IF(B16="出让",IF(G17="","",ROUNDDOWN(MIN((G17-$D$3)/365,G18),2)),G18)</f>
        <v>49.53</v>
      </c>
      <c r="H19" s="1606" t="str">
        <f>IF(B16="出让",IF(H17="","",ROUNDDOWN(MIN((H17-$D$3)/365,H18),2)),H18)</f>
        <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370"/>
      <c r="E20" s="3371"/>
      <c r="F20" s="3371"/>
      <c r="G20" s="3371"/>
      <c r="H20" s="3371"/>
      <c r="I20" s="3372"/>
      <c r="J20" s="3069"/>
      <c r="K20" s="3052"/>
      <c r="L20" s="3048"/>
      <c r="M20" s="3048"/>
      <c r="N20" s="3049"/>
      <c r="O20" s="3050"/>
      <c r="P20" s="3049"/>
      <c r="Q20" s="3049"/>
      <c r="R20" s="3049"/>
      <c r="S20" s="3049"/>
      <c r="T20" s="3049"/>
      <c r="U20" s="3049"/>
    </row>
    <row r="21" spans="1:21">
      <c r="A21" s="1677" t="s">
        <v>1947</v>
      </c>
      <c r="B21" s="1678" t="s">
        <v>1948</v>
      </c>
      <c r="C21" s="1673">
        <f>'数据-汇总表'!E3</f>
        <v>331534.86</v>
      </c>
      <c r="D21" s="1674" t="s">
        <v>1949</v>
      </c>
      <c r="E21" s="3360" t="s">
        <v>1987</v>
      </c>
      <c r="F21" s="3361"/>
      <c r="G21" s="3361"/>
      <c r="H21" s="3361"/>
      <c r="I21" s="3362"/>
      <c r="J21" s="3069"/>
      <c r="K21" s="3052"/>
      <c r="L21" s="3048"/>
      <c r="M21" s="3048"/>
      <c r="N21" s="3049"/>
      <c r="O21" s="3050"/>
      <c r="P21" s="3049"/>
      <c r="Q21" s="3049"/>
      <c r="R21" s="3049"/>
      <c r="S21" s="3049"/>
      <c r="T21" s="3049"/>
      <c r="U21" s="3049"/>
    </row>
    <row r="22" spans="1:21">
      <c r="A22" s="2797" t="s">
        <v>943</v>
      </c>
      <c r="B22" s="1585" t="s">
        <v>1950</v>
      </c>
      <c r="C22" s="1607">
        <f>'数据-汇总表'!D3</f>
        <v>178018.61</v>
      </c>
      <c r="D22" s="1608" t="s">
        <v>1949</v>
      </c>
      <c r="E22" s="3360" t="s">
        <v>2869</v>
      </c>
      <c r="F22" s="3361"/>
      <c r="G22" s="3361"/>
      <c r="H22" s="3361"/>
      <c r="I22" s="3362"/>
      <c r="J22" s="3069"/>
      <c r="K22" s="3052"/>
      <c r="L22" s="3048"/>
      <c r="M22" s="3048"/>
      <c r="N22" s="3049"/>
      <c r="O22" s="3050"/>
      <c r="P22" s="3049"/>
      <c r="Q22" s="3049"/>
      <c r="R22" s="3049"/>
      <c r="S22" s="3049"/>
      <c r="T22" s="3049"/>
      <c r="U22" s="3049"/>
    </row>
    <row r="23" spans="1:21" ht="43.5" thickBot="1">
      <c r="A23" s="1679" t="s">
        <v>1951</v>
      </c>
      <c r="B23" s="1619" t="s">
        <v>1952</v>
      </c>
      <c r="C23" s="1620" t="s">
        <v>3000</v>
      </c>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63" t="s">
        <v>1955</v>
      </c>
      <c r="C24" s="3364"/>
      <c r="D24" s="3365" t="s">
        <v>1956</v>
      </c>
      <c r="E24" s="3366"/>
      <c r="F24" s="1626" t="s">
        <v>1957</v>
      </c>
      <c r="G24" s="3069"/>
      <c r="H24" s="3069"/>
      <c r="I24" s="3073"/>
      <c r="J24" s="3069"/>
      <c r="K24" s="3351"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351"/>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351"/>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337" t="s">
        <v>1990</v>
      </c>
      <c r="B31" s="1678" t="s">
        <v>1991</v>
      </c>
      <c r="C31" s="3376" t="s">
        <v>3001</v>
      </c>
      <c r="D31" s="3377"/>
      <c r="E31" s="3069"/>
      <c r="F31" s="3069"/>
      <c r="G31" s="3069"/>
      <c r="H31" s="3069"/>
      <c r="I31" s="3073"/>
      <c r="J31" s="3069"/>
      <c r="K31" s="3055"/>
      <c r="L31" s="3049"/>
      <c r="M31" s="3049"/>
      <c r="N31" s="3049"/>
      <c r="O31" s="3049"/>
      <c r="P31" s="3049"/>
      <c r="Q31" s="3049"/>
      <c r="R31" s="3049"/>
      <c r="S31" s="3049"/>
      <c r="T31" s="3049"/>
      <c r="U31" s="3049"/>
    </row>
    <row r="32" spans="1:21">
      <c r="A32" s="3337"/>
      <c r="B32" s="1585" t="s">
        <v>1992</v>
      </c>
      <c r="C32" s="1637" t="s">
        <v>3002</v>
      </c>
      <c r="D32" s="1638"/>
      <c r="E32" s="3069"/>
      <c r="F32" s="3069"/>
      <c r="G32" s="3069"/>
      <c r="H32" s="3069"/>
      <c r="I32" s="3073"/>
      <c r="J32" s="3069"/>
      <c r="K32" s="3055"/>
      <c r="L32" s="3049"/>
      <c r="M32" s="3049"/>
      <c r="N32" s="3049"/>
      <c r="O32" s="3049"/>
      <c r="P32" s="3049"/>
      <c r="Q32" s="3049"/>
      <c r="R32" s="3049"/>
      <c r="S32" s="3049"/>
      <c r="T32" s="3049"/>
      <c r="U32" s="3049"/>
    </row>
    <row r="33" spans="1:28">
      <c r="A33" s="3337"/>
      <c r="B33" s="1585" t="s">
        <v>1993</v>
      </c>
      <c r="C33" s="1639" t="s">
        <v>3000</v>
      </c>
      <c r="D33" s="1749"/>
      <c r="E33" s="3069"/>
      <c r="F33" s="3069"/>
      <c r="G33" s="3069"/>
      <c r="H33" s="3069"/>
      <c r="I33" s="3073"/>
      <c r="J33" s="3069"/>
      <c r="K33" s="3055"/>
      <c r="L33" s="3049"/>
      <c r="M33" s="3049"/>
      <c r="N33" s="3049"/>
      <c r="O33" s="3049"/>
      <c r="P33" s="3049"/>
      <c r="Q33" s="3049"/>
      <c r="R33" s="3049"/>
      <c r="S33" s="3049"/>
      <c r="T33" s="3049"/>
      <c r="U33" s="3049"/>
    </row>
    <row r="34" spans="1:28">
      <c r="A34" s="3338"/>
      <c r="B34" s="1585" t="s">
        <v>1994</v>
      </c>
      <c r="C34" s="3339"/>
      <c r="D34" s="3340"/>
      <c r="E34" s="3069"/>
      <c r="F34" s="3069"/>
      <c r="G34" s="3069"/>
      <c r="H34" s="3069"/>
      <c r="I34" s="3073"/>
      <c r="J34" s="3069"/>
      <c r="K34" s="3055"/>
      <c r="L34" s="3049"/>
      <c r="M34" s="3049"/>
      <c r="N34" s="3049"/>
      <c r="O34" s="3049"/>
      <c r="P34" s="3049"/>
      <c r="Q34" s="3049"/>
      <c r="R34" s="3049"/>
      <c r="S34" s="3049"/>
      <c r="T34" s="3049"/>
      <c r="U34" s="3049"/>
    </row>
    <row r="35" spans="1:28">
      <c r="A35" s="3341" t="s">
        <v>839</v>
      </c>
      <c r="B35" s="1640" t="s">
        <v>3003</v>
      </c>
      <c r="C35" s="1687" t="str">
        <f>IF(B35="场地平整","——","具体情况：")</f>
        <v>——</v>
      </c>
      <c r="D35" s="3343"/>
      <c r="E35" s="3344"/>
      <c r="F35" s="3344"/>
      <c r="G35" s="3344"/>
      <c r="H35" s="3344"/>
      <c r="I35" s="3345"/>
      <c r="J35" s="3069"/>
      <c r="K35" s="3056"/>
      <c r="L35" s="3048"/>
      <c r="M35" s="3048"/>
      <c r="N35" s="3049"/>
      <c r="O35" s="3050"/>
      <c r="P35" s="3049"/>
      <c r="Q35" s="3049"/>
      <c r="R35" s="3049"/>
      <c r="S35" s="3049"/>
      <c r="T35" s="3049"/>
      <c r="U35" s="3049"/>
    </row>
    <row r="36" spans="1:28">
      <c r="A36" s="3337"/>
      <c r="B36" s="3346" t="s">
        <v>2043</v>
      </c>
      <c r="C36" s="3347"/>
      <c r="D36" s="1703" t="s">
        <v>3004</v>
      </c>
      <c r="E36" s="3348"/>
      <c r="F36" s="3348"/>
      <c r="G36" s="1608" t="str">
        <f>IF(B35="场地未平整","估价结果处理","")</f>
        <v/>
      </c>
      <c r="H36" s="3349"/>
      <c r="I36" s="3349"/>
      <c r="J36" s="3069"/>
      <c r="K36" s="3056"/>
      <c r="L36" s="3048"/>
      <c r="M36" s="3048"/>
      <c r="N36" s="3049"/>
      <c r="O36" s="3050"/>
      <c r="P36" s="3049"/>
      <c r="Q36" s="3049"/>
      <c r="R36" s="3049"/>
      <c r="S36" s="3049"/>
      <c r="T36" s="3049"/>
      <c r="U36" s="3049"/>
    </row>
    <row r="37" spans="1:28" ht="28.5">
      <c r="A37" s="3337"/>
      <c r="B37" s="3367" t="s">
        <v>840</v>
      </c>
      <c r="C37" s="1642" t="s">
        <v>841</v>
      </c>
      <c r="D37" s="1643">
        <v>44562</v>
      </c>
      <c r="E37" s="1644"/>
      <c r="F37" s="3069"/>
      <c r="G37" s="3069"/>
      <c r="H37" s="3069"/>
      <c r="I37" s="3073"/>
      <c r="J37" s="3069"/>
      <c r="K37" s="3056"/>
      <c r="L37" s="3049"/>
      <c r="M37" s="3049"/>
      <c r="N37" s="3049"/>
      <c r="O37" s="3049"/>
      <c r="P37" s="3049"/>
      <c r="Q37" s="3049"/>
      <c r="R37" s="3049"/>
      <c r="S37" s="3049"/>
      <c r="T37" s="3049"/>
      <c r="U37" s="3049"/>
    </row>
    <row r="38" spans="1:28">
      <c r="A38" s="3337"/>
      <c r="B38" s="3368"/>
      <c r="C38" s="1593" t="s">
        <v>842</v>
      </c>
      <c r="D38" s="1702">
        <f>ROUNDDOWN(MIN(('数据-取费表'!$B$2-D37)/365,D34),1)</f>
        <v>-0.7</v>
      </c>
      <c r="E38" s="1645" t="s">
        <v>843</v>
      </c>
      <c r="F38" s="3069"/>
      <c r="G38" s="3069"/>
      <c r="H38" s="3069"/>
      <c r="I38" s="3073"/>
      <c r="J38" s="3069"/>
      <c r="K38" s="3056"/>
      <c r="L38" s="3049"/>
      <c r="M38" s="3049"/>
      <c r="N38" s="3049"/>
      <c r="O38" s="3049"/>
      <c r="P38" s="3049"/>
      <c r="Q38" s="3049"/>
      <c r="R38" s="3049"/>
      <c r="S38" s="3049"/>
      <c r="T38" s="3049"/>
      <c r="U38" s="3049"/>
    </row>
    <row r="39" spans="1:28">
      <c r="A39" s="3338"/>
      <c r="B39" s="3369"/>
      <c r="C39" s="1615" t="str">
        <f>IF(D38&lt;1,"不存在土地闲置",IF(B35="宗地内已开工建设","已开工，不存在土地闲置","估价对象已涉嫌土地闲置"))</f>
        <v>不存在土地闲置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t="s">
        <v>3005</v>
      </c>
      <c r="C40" s="1609" t="s">
        <v>3006</v>
      </c>
      <c r="D40" s="1609" t="s">
        <v>3007</v>
      </c>
      <c r="E40" s="1609" t="s">
        <v>3008</v>
      </c>
      <c r="F40" s="1609" t="s">
        <v>3009</v>
      </c>
      <c r="G40" s="1609" t="s">
        <v>3090</v>
      </c>
      <c r="H40" s="1609"/>
      <c r="I40" s="3073"/>
      <c r="J40" s="3069"/>
      <c r="K40" s="3017">
        <f>COUNTIF(B40:H40,"——")</f>
        <v>0</v>
      </c>
      <c r="L40" s="1617" t="s">
        <v>1967</v>
      </c>
      <c r="M40" s="1614" t="s">
        <v>1968</v>
      </c>
      <c r="N40" s="1614" t="s">
        <v>1969</v>
      </c>
      <c r="O40" s="1614" t="s">
        <v>1970</v>
      </c>
      <c r="P40" s="1614" t="s">
        <v>1971</v>
      </c>
      <c r="Q40" s="1614" t="s">
        <v>1972</v>
      </c>
      <c r="R40" s="1614" t="s">
        <v>1973</v>
      </c>
      <c r="S40" s="3350" t="s">
        <v>1974</v>
      </c>
      <c r="T40" s="1649" t="str">
        <f>NUMBERSTRING(7-K40,1)&amp;"通"</f>
        <v>七通</v>
      </c>
      <c r="U40" s="3049"/>
    </row>
    <row r="41" spans="1:28" ht="28.5">
      <c r="A41" s="1587"/>
      <c r="B41" s="3342" t="s">
        <v>1712</v>
      </c>
      <c r="C41" s="3342"/>
      <c r="D41" s="3342"/>
      <c r="E41" s="3342"/>
      <c r="F41" s="1650" t="str">
        <f>C10</f>
        <v>黔南布衣苗族自治州</v>
      </c>
      <c r="G41" s="3069"/>
      <c r="H41" s="3069"/>
      <c r="I41" s="3073"/>
      <c r="J41" s="3069"/>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350"/>
      <c r="T41" s="1651" t="str">
        <f>IF(T40="一通",L41,IF(T40="二通",M41,IF(T40="三通",N41,IF(T40="四通",O41,IF(T40="五通",P41,IF(T40="六通",Q41,R41))))))</f>
        <v>通路、通电、通讯、通上水、通下水、燃气、</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2870</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67691+67353+59696</f>
        <v>194740</v>
      </c>
      <c r="B3" s="22">
        <f>IF(C3="否",G5-AT5,G5)</f>
        <v>362676.11</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362676.11</v>
      </c>
      <c r="H5" s="27">
        <f t="shared" ref="H5:AT5" si="0">SUM(H13:H641)</f>
        <v>346217.06</v>
      </c>
      <c r="I5" s="27">
        <f t="shared" si="0"/>
        <v>129252.95</v>
      </c>
      <c r="J5" s="27">
        <f t="shared" si="0"/>
        <v>21835.200000000001</v>
      </c>
      <c r="K5" s="27">
        <f t="shared" si="0"/>
        <v>97984</v>
      </c>
      <c r="L5" s="27">
        <f t="shared" si="0"/>
        <v>0</v>
      </c>
      <c r="M5" s="27">
        <f t="shared" si="0"/>
        <v>117480.11</v>
      </c>
      <c r="N5" s="27">
        <f t="shared" si="0"/>
        <v>0</v>
      </c>
      <c r="O5" s="27">
        <f t="shared" si="0"/>
        <v>1500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7153</v>
      </c>
      <c r="AD5" s="27">
        <f t="shared" si="0"/>
        <v>2372</v>
      </c>
      <c r="AE5" s="27">
        <f t="shared" si="0"/>
        <v>0</v>
      </c>
      <c r="AF5" s="27">
        <f t="shared" si="0"/>
        <v>3861</v>
      </c>
      <c r="AG5" s="27">
        <f t="shared" si="0"/>
        <v>0</v>
      </c>
      <c r="AH5" s="27">
        <f t="shared" si="0"/>
        <v>860</v>
      </c>
      <c r="AI5" s="27">
        <f t="shared" si="0"/>
        <v>0</v>
      </c>
      <c r="AJ5" s="27">
        <f t="shared" si="0"/>
        <v>0</v>
      </c>
      <c r="AK5" s="27">
        <f t="shared" si="0"/>
        <v>0</v>
      </c>
      <c r="AL5" s="27">
        <f t="shared" si="0"/>
        <v>60</v>
      </c>
      <c r="AM5" s="27">
        <f t="shared" si="0"/>
        <v>0</v>
      </c>
      <c r="AN5" s="27">
        <f t="shared" si="0"/>
        <v>0</v>
      </c>
      <c r="AO5" s="27">
        <f t="shared" si="0"/>
        <v>0</v>
      </c>
      <c r="AP5" s="27">
        <f t="shared" si="0"/>
        <v>0</v>
      </c>
      <c r="AQ5" s="27">
        <f t="shared" si="0"/>
        <v>0</v>
      </c>
      <c r="AR5" s="27">
        <f t="shared" si="0"/>
        <v>0</v>
      </c>
      <c r="AS5" s="27">
        <f t="shared" si="0"/>
        <v>0</v>
      </c>
      <c r="AT5" s="27">
        <f t="shared" si="0"/>
        <v>9306.0499999999993</v>
      </c>
      <c r="AU5" s="974"/>
      <c r="AV5" s="26" t="s">
        <v>168</v>
      </c>
      <c r="AW5" s="975"/>
      <c r="AX5" s="975"/>
      <c r="AY5" s="28" t="s">
        <v>3</v>
      </c>
      <c r="AZ5" s="29">
        <f t="shared" ref="AZ5:BT5" si="1">SUM(AZ13:AZ641)</f>
        <v>331534.86</v>
      </c>
      <c r="BA5" s="29">
        <f t="shared" si="1"/>
        <v>324381.86</v>
      </c>
      <c r="BB5" s="29">
        <f t="shared" si="1"/>
        <v>107417.75</v>
      </c>
      <c r="BC5" s="29">
        <f t="shared" si="1"/>
        <v>97984</v>
      </c>
      <c r="BD5" s="29">
        <f t="shared" si="1"/>
        <v>117480.11</v>
      </c>
      <c r="BE5" s="29">
        <f t="shared" si="1"/>
        <v>1500</v>
      </c>
      <c r="BF5" s="29">
        <f t="shared" si="1"/>
        <v>0</v>
      </c>
      <c r="BG5" s="29">
        <f t="shared" si="1"/>
        <v>0</v>
      </c>
      <c r="BH5" s="29">
        <f t="shared" si="1"/>
        <v>0</v>
      </c>
      <c r="BI5" s="29">
        <f t="shared" si="1"/>
        <v>0</v>
      </c>
      <c r="BJ5" s="29">
        <f t="shared" si="1"/>
        <v>0</v>
      </c>
      <c r="BK5" s="29">
        <f t="shared" si="1"/>
        <v>0</v>
      </c>
      <c r="BL5" s="29">
        <f t="shared" si="1"/>
        <v>7153</v>
      </c>
      <c r="BM5" s="29">
        <f t="shared" si="1"/>
        <v>2372</v>
      </c>
      <c r="BN5" s="29">
        <f t="shared" si="1"/>
        <v>3861</v>
      </c>
      <c r="BO5" s="29">
        <f t="shared" si="1"/>
        <v>860</v>
      </c>
      <c r="BP5" s="29">
        <f t="shared" si="1"/>
        <v>0</v>
      </c>
      <c r="BQ5" s="29">
        <f t="shared" si="1"/>
        <v>60</v>
      </c>
      <c r="BR5" s="29">
        <f t="shared" si="1"/>
        <v>0</v>
      </c>
      <c r="BS5" s="29">
        <f t="shared" si="1"/>
        <v>0</v>
      </c>
      <c r="BT5" s="30">
        <f t="shared" si="1"/>
        <v>0</v>
      </c>
    </row>
    <row r="6" spans="1:72" s="37" customFormat="1" ht="12.75">
      <c r="A6" s="26" t="s">
        <v>169</v>
      </c>
      <c r="B6" s="31"/>
      <c r="C6" s="31"/>
      <c r="D6" s="32"/>
      <c r="E6" s="27">
        <f>H6+AC6+AT6</f>
        <v>194740.00999999998</v>
      </c>
      <c r="F6" s="27" t="s">
        <v>1</v>
      </c>
      <c r="G6" s="27" t="s">
        <v>2</v>
      </c>
      <c r="H6" s="33">
        <f>SUMIF(I$12:AB$12,"总值",I6:AB6)</f>
        <v>185902.27</v>
      </c>
      <c r="I6" s="27">
        <f t="shared" ref="I6:AB6" si="2">ROUND($A$3*I5/$B$3,2)</f>
        <v>69402.75</v>
      </c>
      <c r="J6" s="27">
        <f t="shared" si="2"/>
        <v>11724.47</v>
      </c>
      <c r="K6" s="27">
        <f t="shared" si="2"/>
        <v>52612.800000000003</v>
      </c>
      <c r="L6" s="27">
        <f t="shared" si="2"/>
        <v>0</v>
      </c>
      <c r="M6" s="27">
        <f t="shared" si="2"/>
        <v>63081.29</v>
      </c>
      <c r="N6" s="27">
        <f t="shared" si="2"/>
        <v>0</v>
      </c>
      <c r="O6" s="27">
        <f t="shared" si="2"/>
        <v>805.43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3840.8299999999995</v>
      </c>
      <c r="AD6" s="27">
        <f t="shared" ref="AD6:AS6" si="3">ROUND($A$3*AD5/$B$3,2)</f>
        <v>1273.6500000000001</v>
      </c>
      <c r="AE6" s="27">
        <f t="shared" si="3"/>
        <v>0</v>
      </c>
      <c r="AF6" s="27">
        <f t="shared" si="3"/>
        <v>2073.1799999999998</v>
      </c>
      <c r="AG6" s="27">
        <f t="shared" si="3"/>
        <v>0</v>
      </c>
      <c r="AH6" s="27">
        <f t="shared" si="3"/>
        <v>461.78</v>
      </c>
      <c r="AI6" s="27">
        <f t="shared" si="3"/>
        <v>0</v>
      </c>
      <c r="AJ6" s="27">
        <f t="shared" si="3"/>
        <v>0</v>
      </c>
      <c r="AK6" s="27">
        <f t="shared" si="3"/>
        <v>0</v>
      </c>
      <c r="AL6" s="27">
        <f t="shared" si="3"/>
        <v>32.22</v>
      </c>
      <c r="AM6" s="27">
        <f t="shared" si="3"/>
        <v>0</v>
      </c>
      <c r="AN6" s="27">
        <f t="shared" si="3"/>
        <v>0</v>
      </c>
      <c r="AO6" s="27">
        <f t="shared" si="3"/>
        <v>0</v>
      </c>
      <c r="AP6" s="27">
        <f t="shared" si="3"/>
        <v>0</v>
      </c>
      <c r="AQ6" s="27">
        <f t="shared" si="3"/>
        <v>0</v>
      </c>
      <c r="AR6" s="27">
        <f t="shared" si="3"/>
        <v>0</v>
      </c>
      <c r="AS6" s="27">
        <f t="shared" si="3"/>
        <v>0</v>
      </c>
      <c r="AT6" s="33">
        <f>IF(C3="是",ROUND($A$3*AT5/$B$3,2),0)</f>
        <v>4996.91</v>
      </c>
      <c r="AU6" s="34"/>
      <c r="AV6" s="26" t="s">
        <v>169</v>
      </c>
      <c r="AW6" s="31"/>
      <c r="AX6" s="31"/>
      <c r="AY6" s="35">
        <f>IF(AY3&gt;0,AY3,ROUND($A$3*AZ5/$B$3,2))</f>
        <v>178018.61</v>
      </c>
      <c r="AZ6" s="27" t="s">
        <v>3</v>
      </c>
      <c r="BA6" s="27">
        <f>ROUND($AY$6*BA5/$AZ$5,2)</f>
        <v>174177.79</v>
      </c>
      <c r="BB6" s="27">
        <f>ROUND($AY$6*BB5/$AZ$5,2)</f>
        <v>57678.27</v>
      </c>
      <c r="BC6" s="27">
        <f t="shared" ref="BC6:BH6" si="4">ROUND($AY$6*BC5/$AZ$5,2)</f>
        <v>52612.79</v>
      </c>
      <c r="BD6" s="27">
        <f t="shared" si="4"/>
        <v>63081.29</v>
      </c>
      <c r="BE6" s="27">
        <f t="shared" si="4"/>
        <v>805.43</v>
      </c>
      <c r="BF6" s="27">
        <f t="shared" si="4"/>
        <v>0</v>
      </c>
      <c r="BG6" s="27">
        <f t="shared" si="4"/>
        <v>0</v>
      </c>
      <c r="BH6" s="27">
        <f t="shared" si="4"/>
        <v>0</v>
      </c>
      <c r="BI6" s="27">
        <f t="shared" ref="BI6:BT6" si="5">ROUND($AY$6*BI5/$AZ$5,2)</f>
        <v>0</v>
      </c>
      <c r="BJ6" s="27">
        <f t="shared" si="5"/>
        <v>0</v>
      </c>
      <c r="BK6" s="27">
        <f t="shared" si="5"/>
        <v>0</v>
      </c>
      <c r="BL6" s="27">
        <f t="shared" si="5"/>
        <v>3840.82</v>
      </c>
      <c r="BM6" s="27">
        <f t="shared" si="5"/>
        <v>1273.6500000000001</v>
      </c>
      <c r="BN6" s="27">
        <f t="shared" si="5"/>
        <v>2073.1799999999998</v>
      </c>
      <c r="BO6" s="27">
        <f t="shared" si="5"/>
        <v>461.78</v>
      </c>
      <c r="BP6" s="27">
        <f t="shared" si="5"/>
        <v>0</v>
      </c>
      <c r="BQ6" s="27">
        <f t="shared" si="5"/>
        <v>32.22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3011</v>
      </c>
      <c r="J9" s="51"/>
      <c r="K9" s="2728" t="s">
        <v>3011</v>
      </c>
      <c r="L9" s="51"/>
      <c r="M9" s="2728" t="s">
        <v>3020</v>
      </c>
      <c r="N9" s="51"/>
      <c r="O9" s="59" t="s">
        <v>3011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914</v>
      </c>
      <c r="L10" s="51"/>
      <c r="M10" s="2730" t="s">
        <v>3015</v>
      </c>
      <c r="N10" s="51"/>
      <c r="O10" s="66" t="s">
        <v>2999</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3010</v>
      </c>
      <c r="J11" s="71"/>
      <c r="K11" s="2729" t="s">
        <v>3019</v>
      </c>
      <c r="L11" s="71"/>
      <c r="M11" s="70" t="s">
        <v>3015</v>
      </c>
      <c r="N11" s="71"/>
      <c r="O11" s="70" t="s">
        <v>3088</v>
      </c>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叠拼</v>
      </c>
      <c r="BC12" s="79" t="str">
        <f>K11</f>
        <v>普通住宅</v>
      </c>
      <c r="BD12" s="79" t="str">
        <f>M11</f>
        <v>车库</v>
      </c>
      <c r="BE12" s="50" t="str">
        <f>O11</f>
        <v>底商</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t="s">
        <v>3166</v>
      </c>
      <c r="D13" s="2725" t="s">
        <v>1669</v>
      </c>
      <c r="E13" s="27">
        <f t="shared" ref="E13:E20" si="6">IF($C$3="是",ROUND($A$3*G13/$B$3,2),ROUND($A$3*(G13-AT13)/$B$3,2))</f>
        <v>69402.75</v>
      </c>
      <c r="F13" s="81"/>
      <c r="G13" s="82">
        <f t="shared" ref="G13:G20" si="7">H13+AC13+AT13</f>
        <v>129252.95</v>
      </c>
      <c r="H13" s="33">
        <f t="shared" ref="H13:H20" si="8">SUMIF(I$12:AB$12,"总值",I13:AB13)</f>
        <v>129252.95</v>
      </c>
      <c r="I13" s="3301">
        <v>129252.95</v>
      </c>
      <c r="J13" s="2727">
        <v>21835.200000000001</v>
      </c>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t="str">
        <f t="shared" si="10"/>
        <v>联排</v>
      </c>
      <c r="AY13" s="982">
        <f t="shared" ref="AY13:AY20" si="11">ROUND($AY$6*AZ13/$AZ$5,2)</f>
        <v>57678.27</v>
      </c>
      <c r="AZ13" s="27">
        <f t="shared" ref="AZ13:AZ20" si="12">BA13+BL13</f>
        <v>107417.75</v>
      </c>
      <c r="BA13" s="27">
        <f t="shared" ref="BA13:BA20" si="13">SUM(BB13:BK13)</f>
        <v>107417.75</v>
      </c>
      <c r="BB13" s="27">
        <f t="shared" ref="BB13:BB20" si="14">IF($D13="是",I13-J13,0)</f>
        <v>107417.75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31"/>
      <c r="B14" s="2724"/>
      <c r="C14" s="2724" t="s">
        <v>3013</v>
      </c>
      <c r="D14" s="2725" t="s">
        <v>1669</v>
      </c>
      <c r="E14" s="27">
        <f t="shared" si="6"/>
        <v>52612.800000000003</v>
      </c>
      <c r="F14" s="81"/>
      <c r="G14" s="82">
        <f t="shared" si="7"/>
        <v>97984</v>
      </c>
      <c r="H14" s="33">
        <f t="shared" si="8"/>
        <v>97984</v>
      </c>
      <c r="I14" s="2727"/>
      <c r="J14" s="2727"/>
      <c r="K14" s="2727">
        <v>97984</v>
      </c>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t="str">
        <f t="shared" si="10"/>
        <v>高层</v>
      </c>
      <c r="AY14" s="982">
        <f t="shared" si="11"/>
        <v>52612.79</v>
      </c>
      <c r="AZ14" s="27">
        <f t="shared" si="12"/>
        <v>97984</v>
      </c>
      <c r="BA14" s="27">
        <f t="shared" si="13"/>
        <v>97984</v>
      </c>
      <c r="BB14" s="27">
        <f t="shared" si="14"/>
        <v>0</v>
      </c>
      <c r="BC14" s="27">
        <f t="shared" si="15"/>
        <v>97984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4" t="s">
        <v>3016</v>
      </c>
      <c r="D15" s="2725" t="s">
        <v>1669</v>
      </c>
      <c r="E15" s="27">
        <f t="shared" si="6"/>
        <v>68078.2</v>
      </c>
      <c r="F15" s="81"/>
      <c r="G15" s="82">
        <f t="shared" si="7"/>
        <v>126786.16</v>
      </c>
      <c r="H15" s="33">
        <f t="shared" si="8"/>
        <v>117480.11</v>
      </c>
      <c r="I15" s="2727"/>
      <c r="J15" s="2727"/>
      <c r="K15" s="2727"/>
      <c r="L15" s="2727"/>
      <c r="M15" s="3301">
        <f>13392.31+104087.8</f>
        <v>117480.11</v>
      </c>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v>9306.0499999999993</v>
      </c>
      <c r="AU15" s="2733"/>
      <c r="AV15" s="17">
        <f t="shared" si="10"/>
        <v>0</v>
      </c>
      <c r="AW15" s="17">
        <f t="shared" si="10"/>
        <v>0</v>
      </c>
      <c r="AX15" s="17" t="str">
        <f t="shared" si="10"/>
        <v>车库</v>
      </c>
      <c r="AY15" s="982">
        <f t="shared" si="11"/>
        <v>63081.29</v>
      </c>
      <c r="AZ15" s="27">
        <f t="shared" si="12"/>
        <v>117480.11</v>
      </c>
      <c r="BA15" s="27">
        <f t="shared" si="13"/>
        <v>117480.11</v>
      </c>
      <c r="BB15" s="27">
        <f t="shared" si="14"/>
        <v>0</v>
      </c>
      <c r="BC15" s="27">
        <f t="shared" si="15"/>
        <v>0</v>
      </c>
      <c r="BD15" s="27">
        <f t="shared" si="16"/>
        <v>117480.11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4" t="s">
        <v>3014</v>
      </c>
      <c r="D16" s="2725" t="s">
        <v>1669</v>
      </c>
      <c r="E16" s="27">
        <f t="shared" si="6"/>
        <v>3840.82</v>
      </c>
      <c r="F16" s="81"/>
      <c r="G16" s="82">
        <f t="shared" si="7"/>
        <v>7153</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7153</v>
      </c>
      <c r="AD16" s="3302">
        <f>608+250+100+350+58+16+800+40+150</f>
        <v>2372</v>
      </c>
      <c r="AE16" s="2731"/>
      <c r="AF16" s="3302">
        <v>3861</v>
      </c>
      <c r="AG16" s="2731"/>
      <c r="AH16" s="2731">
        <v>860</v>
      </c>
      <c r="AI16" s="2731"/>
      <c r="AJ16" s="2731"/>
      <c r="AK16" s="2731"/>
      <c r="AL16" s="2731">
        <v>60</v>
      </c>
      <c r="AM16" s="2731"/>
      <c r="AN16" s="2731"/>
      <c r="AO16" s="2731"/>
      <c r="AP16" s="2731"/>
      <c r="AQ16" s="2731"/>
      <c r="AR16" s="2731"/>
      <c r="AS16" s="2731"/>
      <c r="AT16" s="2732"/>
      <c r="AU16" s="2733"/>
      <c r="AV16" s="17">
        <f t="shared" si="10"/>
        <v>0</v>
      </c>
      <c r="AW16" s="17">
        <f t="shared" si="10"/>
        <v>0</v>
      </c>
      <c r="AX16" s="17" t="str">
        <f t="shared" si="10"/>
        <v>配套</v>
      </c>
      <c r="AY16" s="982">
        <f t="shared" si="11"/>
        <v>3840.82</v>
      </c>
      <c r="AZ16" s="27">
        <f t="shared" si="12"/>
        <v>7153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7153</v>
      </c>
      <c r="BM16" s="27">
        <f t="shared" si="25"/>
        <v>2372</v>
      </c>
      <c r="BN16" s="27">
        <f t="shared" si="26"/>
        <v>3861</v>
      </c>
      <c r="BO16" s="27">
        <f t="shared" si="27"/>
        <v>860</v>
      </c>
      <c r="BP16" s="27">
        <f t="shared" si="28"/>
        <v>0</v>
      </c>
      <c r="BQ16" s="27">
        <f t="shared" si="29"/>
        <v>60</v>
      </c>
      <c r="BR16" s="27">
        <f t="shared" si="30"/>
        <v>0</v>
      </c>
      <c r="BS16" s="27">
        <f t="shared" si="31"/>
        <v>0</v>
      </c>
      <c r="BT16" s="36">
        <f t="shared" si="32"/>
        <v>0</v>
      </c>
    </row>
    <row r="17" spans="1:72" s="18" customFormat="1" ht="12.75">
      <c r="A17" s="2724"/>
      <c r="B17" s="2724"/>
      <c r="C17" s="2724" t="s">
        <v>3087</v>
      </c>
      <c r="D17" s="2725" t="s">
        <v>1669</v>
      </c>
      <c r="E17" s="27">
        <f t="shared" si="6"/>
        <v>805.43</v>
      </c>
      <c r="F17" s="81"/>
      <c r="G17" s="82">
        <f t="shared" si="7"/>
        <v>1500</v>
      </c>
      <c r="H17" s="33">
        <f t="shared" si="8"/>
        <v>1500</v>
      </c>
      <c r="I17" s="2727"/>
      <c r="J17" s="2727"/>
      <c r="K17" s="2727"/>
      <c r="L17" s="2727"/>
      <c r="M17" s="2727"/>
      <c r="N17" s="83"/>
      <c r="O17" s="83">
        <v>1500</v>
      </c>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t="str">
        <f t="shared" si="10"/>
        <v>商业</v>
      </c>
      <c r="AY17" s="982">
        <f t="shared" si="11"/>
        <v>805.43</v>
      </c>
      <c r="AZ17" s="27">
        <f t="shared" si="12"/>
        <v>1500</v>
      </c>
      <c r="BA17" s="27">
        <f t="shared" si="13"/>
        <v>1500</v>
      </c>
      <c r="BB17" s="27">
        <f t="shared" si="14"/>
        <v>0</v>
      </c>
      <c r="BC17" s="27">
        <f t="shared" si="15"/>
        <v>0</v>
      </c>
      <c r="BD17" s="27">
        <f t="shared" si="16"/>
        <v>0</v>
      </c>
      <c r="BE17" s="27">
        <f t="shared" si="17"/>
        <v>1500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28.5">
      <c r="A3" s="3378"/>
      <c r="B3" s="3378"/>
      <c r="C3" s="3378"/>
      <c r="D3" s="3379"/>
      <c r="E3" s="33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8" width="9.25" style="1896"/>
    <col min="19" max="19" width="23.375" style="1896" customWidth="1"/>
    <col min="20"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9" t="s">
        <v>203</v>
      </c>
      <c r="B2" s="3389"/>
      <c r="C2" s="3389"/>
      <c r="D2" s="1886" t="s">
        <v>204</v>
      </c>
      <c r="E2" s="106" t="s">
        <v>205</v>
      </c>
      <c r="F2" s="3078"/>
      <c r="G2" s="1179"/>
      <c r="H2" s="1180"/>
      <c r="I2" s="1181" t="s">
        <v>849</v>
      </c>
      <c r="J2" s="3078"/>
      <c r="K2" s="3078"/>
      <c r="L2" s="3078"/>
      <c r="M2" s="3078"/>
      <c r="N2" s="3078"/>
      <c r="O2" s="3078"/>
      <c r="P2" s="3078"/>
    </row>
    <row r="3" spans="1:16" ht="15.75" thickBot="1">
      <c r="A3" s="3390" t="s">
        <v>206</v>
      </c>
      <c r="B3" s="3390"/>
      <c r="C3" s="3390"/>
      <c r="D3" s="107">
        <f>'数据-基础表'!AY6</f>
        <v>178018.61</v>
      </c>
      <c r="E3" s="107">
        <f>'数据-基础表'!AZ5</f>
        <v>331534.86</v>
      </c>
      <c r="F3" s="3078"/>
      <c r="G3" s="278" t="s">
        <v>850</v>
      </c>
      <c r="H3" s="273" t="s">
        <v>851</v>
      </c>
      <c r="I3" s="1887">
        <f>ROUND('数据-基础表'!B3/'数据-基础表'!A3,2)</f>
        <v>1.86</v>
      </c>
      <c r="J3" s="3078"/>
      <c r="K3" s="3078"/>
      <c r="L3" s="3078"/>
      <c r="M3" s="3078"/>
      <c r="N3" s="3078"/>
      <c r="O3" s="3078"/>
      <c r="P3" s="3078"/>
    </row>
    <row r="4" spans="1:16" ht="15">
      <c r="A4" s="3391"/>
      <c r="B4" s="3392"/>
      <c r="C4" s="3393"/>
      <c r="D4" s="108" t="s">
        <v>204</v>
      </c>
      <c r="E4" s="109" t="s">
        <v>205</v>
      </c>
      <c r="F4" s="3078"/>
      <c r="G4" s="1182"/>
      <c r="H4" s="273" t="s">
        <v>852</v>
      </c>
      <c r="I4" s="1887">
        <f>ROUND(SUMIF('数据-基础表'!I9:AS9,"地上",'数据-基础表'!I5:AS5)/'数据-基础表'!A3,2)</f>
        <v>1.19</v>
      </c>
      <c r="J4" s="3078"/>
      <c r="K4" s="3078"/>
      <c r="L4" s="3078"/>
      <c r="M4" s="3078"/>
      <c r="N4" s="3078"/>
      <c r="O4" s="3078"/>
      <c r="P4" s="3078"/>
    </row>
    <row r="5" spans="1:16">
      <c r="A5" s="110" t="s">
        <v>207</v>
      </c>
      <c r="B5" s="3394" t="s">
        <v>230</v>
      </c>
      <c r="C5" s="3394"/>
      <c r="D5" s="111">
        <f>ROUND($D$3*E5/$E$3,2)</f>
        <v>110291.07</v>
      </c>
      <c r="E5" s="112">
        <f>SUMIF('数据-基础表'!$11:$11,"住宅",'数据-基础表'!$5:$5)</f>
        <v>205401.75</v>
      </c>
      <c r="F5" s="3078"/>
      <c r="G5" s="278" t="s">
        <v>853</v>
      </c>
      <c r="H5" s="273" t="s">
        <v>851</v>
      </c>
      <c r="I5" s="1887">
        <f>ROUND(E31/D31,2)</f>
        <v>1.86</v>
      </c>
      <c r="J5" s="3078"/>
      <c r="K5" s="3078"/>
      <c r="L5" s="3078"/>
      <c r="M5" s="3078"/>
      <c r="N5" s="3078"/>
      <c r="O5" s="3078"/>
      <c r="P5" s="3078"/>
    </row>
    <row r="6" spans="1:16" ht="15" thickBot="1">
      <c r="A6" s="113"/>
      <c r="B6" s="3394" t="s">
        <v>208</v>
      </c>
      <c r="C6" s="3394"/>
      <c r="D6" s="111">
        <f>ROUND($D$3*E6/$E$3,2)</f>
        <v>67727.539999999994</v>
      </c>
      <c r="E6" s="112">
        <f>E3-E5</f>
        <v>126133.10999999999</v>
      </c>
      <c r="F6" s="3078"/>
      <c r="G6" s="1182"/>
      <c r="H6" s="273" t="s">
        <v>852</v>
      </c>
      <c r="I6" s="1887">
        <f>ROUND(F31/D31,2)</f>
        <v>1.18</v>
      </c>
      <c r="J6" s="3078"/>
      <c r="K6" s="3078"/>
      <c r="L6" s="3078"/>
      <c r="M6" s="3078"/>
      <c r="N6" s="3078"/>
      <c r="O6" s="3078"/>
      <c r="P6" s="3078"/>
    </row>
    <row r="7" spans="1:16" ht="15">
      <c r="A7" s="3386"/>
      <c r="B7" s="3387"/>
      <c r="C7" s="3388"/>
      <c r="D7" s="108" t="s">
        <v>204</v>
      </c>
      <c r="E7" s="114" t="s">
        <v>231</v>
      </c>
      <c r="F7" s="3078"/>
      <c r="G7" s="1137" t="s">
        <v>1636</v>
      </c>
      <c r="H7" s="1138"/>
      <c r="I7" s="1757"/>
      <c r="J7" s="3078"/>
      <c r="K7" s="3078"/>
      <c r="L7" s="3078"/>
      <c r="M7" s="3078"/>
      <c r="N7" s="3078"/>
      <c r="O7" s="3078"/>
      <c r="P7" s="3078"/>
    </row>
    <row r="8" spans="1:16">
      <c r="A8" s="110" t="s">
        <v>209</v>
      </c>
      <c r="B8" s="115" t="s">
        <v>210</v>
      </c>
      <c r="C8" s="111" t="s">
        <v>211</v>
      </c>
      <c r="D8" s="111">
        <f t="shared" ref="D8:D15" si="0">ROUND($D$3*E8/$E$3,2)</f>
        <v>111096.5</v>
      </c>
      <c r="E8" s="116">
        <f>SUMIF('数据-基础表'!BB10:BK10,"地上",'数据-基础表'!BB5:BK5)</f>
        <v>206901.75</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08" t="s">
        <v>2322</v>
      </c>
      <c r="D13" s="111">
        <f t="shared" si="0"/>
        <v>63081.29</v>
      </c>
      <c r="E13" s="116">
        <f>SUMPRODUCT(('数据-基础表'!BB10:BK10="地下")*('数据-基础表'!BB11:BK11="车库")*('数据-基础表'!BB5:BK5))</f>
        <v>117480.11</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174177.79</v>
      </c>
      <c r="E16" s="120">
        <f>SUM(E8:E15)</f>
        <v>324381.86</v>
      </c>
      <c r="F16" s="3078"/>
      <c r="G16" s="3079"/>
      <c r="H16" s="954" t="s">
        <v>219</v>
      </c>
      <c r="I16" s="955"/>
      <c r="J16" s="1895"/>
      <c r="K16" s="3380" t="s">
        <v>2547</v>
      </c>
      <c r="L16" s="3381"/>
      <c r="M16" s="3381"/>
      <c r="N16" s="3381"/>
      <c r="O16" s="3381"/>
      <c r="P16" s="3382"/>
    </row>
    <row r="17" spans="1:19" ht="15">
      <c r="A17" s="121" t="s">
        <v>216</v>
      </c>
      <c r="B17" s="122" t="s">
        <v>217</v>
      </c>
      <c r="C17" s="2175" t="s">
        <v>2301</v>
      </c>
      <c r="D17" s="108" t="s">
        <v>204</v>
      </c>
      <c r="E17" s="124" t="s">
        <v>205</v>
      </c>
      <c r="F17" s="125"/>
      <c r="G17" s="1316"/>
      <c r="H17" s="956" t="s">
        <v>218</v>
      </c>
      <c r="I17" s="957" t="s">
        <v>2300</v>
      </c>
      <c r="J17" s="1895"/>
      <c r="K17" s="3383" t="s">
        <v>2548</v>
      </c>
      <c r="L17" s="3384"/>
      <c r="M17" s="3385"/>
      <c r="N17" s="3383" t="s">
        <v>2549</v>
      </c>
      <c r="O17" s="3384"/>
      <c r="P17" s="3385"/>
      <c r="R17" s="2176" t="s">
        <v>2299</v>
      </c>
      <c r="S17" s="142"/>
    </row>
    <row r="18" spans="1:19" ht="15">
      <c r="A18" s="117"/>
      <c r="B18" s="128"/>
      <c r="C18" s="129"/>
      <c r="D18" s="2481"/>
      <c r="E18" s="130" t="s">
        <v>220</v>
      </c>
      <c r="F18" s="131" t="s">
        <v>221</v>
      </c>
      <c r="G18" s="1317"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4" t="s">
        <v>3167</v>
      </c>
      <c r="D19" s="111">
        <f t="shared" ref="D19:D26" si="1">ROUND($D$3*E19/$E$3,2)</f>
        <v>57678.27</v>
      </c>
      <c r="E19" s="134">
        <f t="shared" ref="E19:E26" si="2">SUM(F19:G19)</f>
        <v>107417.75</v>
      </c>
      <c r="F19" s="3080">
        <f>'数据-基础表'!I5-'数据-基础表'!J5</f>
        <v>107417.75</v>
      </c>
      <c r="G19" s="3081"/>
      <c r="H19" s="960">
        <f>ROUND($D$3*I19/$E$3,2)</f>
        <v>10.67</v>
      </c>
      <c r="I19" s="116">
        <f>IF($I$17="自定义",P19,M19)</f>
        <v>19.87</v>
      </c>
      <c r="J19" s="1895"/>
      <c r="K19" s="2449">
        <f t="shared" ref="K19:K26" si="3">ROUND(E$28*E19/E$27,2)</f>
        <v>19.87</v>
      </c>
      <c r="L19" s="273">
        <f t="shared" ref="L19:L26" si="4">ROUND(IF(COUNTIF(C19,"*住宅*")&gt;0,E$29*E19/E$32,0),2)</f>
        <v>0</v>
      </c>
      <c r="M19" s="2450">
        <f>K19+L19</f>
        <v>19.87</v>
      </c>
      <c r="N19" s="2451"/>
      <c r="O19" s="2452"/>
      <c r="P19" s="2453">
        <f>N19+O19</f>
        <v>0</v>
      </c>
      <c r="R19" s="273">
        <f t="shared" ref="R19:S26" si="5">D19+H19</f>
        <v>57688.939999999995</v>
      </c>
      <c r="S19" s="2178">
        <f t="shared" si="5"/>
        <v>107437.62</v>
      </c>
    </row>
    <row r="20" spans="1:19">
      <c r="A20" s="137"/>
      <c r="B20" s="115" t="s">
        <v>226</v>
      </c>
      <c r="C20" s="2734" t="s">
        <v>3017</v>
      </c>
      <c r="D20" s="111">
        <f t="shared" si="1"/>
        <v>52612.79</v>
      </c>
      <c r="E20" s="134">
        <f t="shared" si="2"/>
        <v>97984</v>
      </c>
      <c r="F20" s="3080">
        <f>'数据-基础表'!K5</f>
        <v>97984</v>
      </c>
      <c r="G20" s="3081"/>
      <c r="H20" s="960">
        <f t="shared" ref="H20:H26" si="6">ROUND($D$3*I20/$E$3,2)</f>
        <v>9.73</v>
      </c>
      <c r="I20" s="116">
        <f t="shared" ref="I20:I26" si="7">IF($I$17="自定义",P20,M20)</f>
        <v>18.12</v>
      </c>
      <c r="J20" s="1895"/>
      <c r="K20" s="2449">
        <f t="shared" si="3"/>
        <v>18.12</v>
      </c>
      <c r="L20" s="273">
        <f t="shared" si="4"/>
        <v>0</v>
      </c>
      <c r="M20" s="2450">
        <f t="shared" ref="M20:M26" si="8">K20+L20</f>
        <v>18.12</v>
      </c>
      <c r="N20" s="2451"/>
      <c r="O20" s="2452"/>
      <c r="P20" s="2453">
        <f t="shared" ref="P20:P26" si="9">N20+O20</f>
        <v>0</v>
      </c>
      <c r="R20" s="273">
        <f t="shared" si="5"/>
        <v>52622.520000000004</v>
      </c>
      <c r="S20" s="2178">
        <f t="shared" si="5"/>
        <v>98002.12</v>
      </c>
    </row>
    <row r="21" spans="1:19">
      <c r="A21" s="137"/>
      <c r="B21" s="115" t="s">
        <v>226</v>
      </c>
      <c r="C21" s="2734" t="s">
        <v>3021</v>
      </c>
      <c r="D21" s="111">
        <f t="shared" si="1"/>
        <v>63081.29</v>
      </c>
      <c r="E21" s="134">
        <f t="shared" si="2"/>
        <v>117480.11</v>
      </c>
      <c r="F21" s="3080"/>
      <c r="G21" s="3081">
        <f>'数据-基础表'!M5</f>
        <v>117480.11</v>
      </c>
      <c r="H21" s="960">
        <f t="shared" si="6"/>
        <v>11.67</v>
      </c>
      <c r="I21" s="116">
        <f t="shared" si="7"/>
        <v>21.73</v>
      </c>
      <c r="J21" s="1895"/>
      <c r="K21" s="2449">
        <f t="shared" si="3"/>
        <v>21.73</v>
      </c>
      <c r="L21" s="273">
        <f t="shared" si="4"/>
        <v>0</v>
      </c>
      <c r="M21" s="2450">
        <f t="shared" si="8"/>
        <v>21.73</v>
      </c>
      <c r="N21" s="2451"/>
      <c r="O21" s="2452"/>
      <c r="P21" s="2453">
        <f t="shared" si="9"/>
        <v>0</v>
      </c>
      <c r="R21" s="273">
        <f t="shared" si="5"/>
        <v>63092.959999999999</v>
      </c>
      <c r="S21" s="2178">
        <f t="shared" si="5"/>
        <v>117501.84</v>
      </c>
    </row>
    <row r="22" spans="1:19">
      <c r="A22" s="137"/>
      <c r="B22" s="115" t="s">
        <v>226</v>
      </c>
      <c r="C22" s="3295" t="s">
        <v>3089</v>
      </c>
      <c r="D22" s="111">
        <f t="shared" si="1"/>
        <v>805.43</v>
      </c>
      <c r="E22" s="134">
        <f t="shared" si="2"/>
        <v>1500</v>
      </c>
      <c r="F22" s="3082">
        <v>1500</v>
      </c>
      <c r="G22" s="3083"/>
      <c r="H22" s="960">
        <f t="shared" si="6"/>
        <v>0.15</v>
      </c>
      <c r="I22" s="116">
        <f t="shared" si="7"/>
        <v>0.28000000000000003</v>
      </c>
      <c r="J22" s="1895"/>
      <c r="K22" s="2449">
        <f t="shared" si="3"/>
        <v>0.28000000000000003</v>
      </c>
      <c r="L22" s="273">
        <f t="shared" si="4"/>
        <v>0</v>
      </c>
      <c r="M22" s="2450">
        <f t="shared" si="8"/>
        <v>0.28000000000000003</v>
      </c>
      <c r="N22" s="2451"/>
      <c r="O22" s="2452"/>
      <c r="P22" s="2453">
        <f t="shared" si="9"/>
        <v>0</v>
      </c>
      <c r="R22" s="273">
        <f t="shared" si="5"/>
        <v>805.57999999999993</v>
      </c>
      <c r="S22" s="2178">
        <f t="shared" si="5"/>
        <v>1500.28</v>
      </c>
    </row>
    <row r="23" spans="1:19">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43.5" thickBot="1">
      <c r="A27" s="137"/>
      <c r="B27" s="111"/>
      <c r="C27" s="127" t="s">
        <v>215</v>
      </c>
      <c r="D27" s="134">
        <f>SUM(D19:D26)</f>
        <v>174177.78</v>
      </c>
      <c r="E27" s="141">
        <f>IF(SUM(E19:E26)='数据-基础表'!BA5,SUM(E19:E26),IF(F27="地上面积有误","面积有误","地下面积有误"))</f>
        <v>324381.86</v>
      </c>
      <c r="F27" s="134">
        <f>IF(SUM(F19:F26)=E8,SUM(F19:F26),"地上面积有误")</f>
        <v>206901.75</v>
      </c>
      <c r="G27" s="112">
        <f>SUM(G19:G26)</f>
        <v>117480.11</v>
      </c>
      <c r="H27" s="961">
        <f>SUM(H19:H26)</f>
        <v>32.22</v>
      </c>
      <c r="I27" s="962">
        <f>SUM(I19:I26)</f>
        <v>60</v>
      </c>
      <c r="J27" s="1895"/>
      <c r="K27" s="2458">
        <f>SUM(K19:K26)</f>
        <v>60</v>
      </c>
      <c r="L27" s="2459">
        <f>SUM(L19:L26)</f>
        <v>0</v>
      </c>
      <c r="M27" s="2460">
        <f>SUM(M19:M26)</f>
        <v>60</v>
      </c>
      <c r="N27" s="2458">
        <f t="shared" ref="N27:O27" si="10">SUM(N19:N26)</f>
        <v>0</v>
      </c>
      <c r="O27" s="2459">
        <f t="shared" si="10"/>
        <v>0</v>
      </c>
      <c r="P27" s="2461">
        <f>SUM(P19:P26)</f>
        <v>0</v>
      </c>
      <c r="R27" s="2182" t="str">
        <f>IF(SUM(R19:R26)=$D$3,SUM(R19:R26),SUM(R19:R26)&amp;"误差"&amp;ROUND(SUM(R19:R26)-$D$3,2))</f>
        <v>174210误差-3808.61</v>
      </c>
      <c r="S27" s="273" t="str">
        <f>IF(SUM(S19:S26)=$E$3,SUM(S19:S26),SUM(S19:S26)&amp;"误差"&amp;ROUND(SUM(S19:S26)-E3,2))</f>
        <v>324441.86误差-7093</v>
      </c>
    </row>
    <row r="28" spans="1:19">
      <c r="A28" s="137"/>
      <c r="B28" s="115" t="s">
        <v>227</v>
      </c>
      <c r="C28" s="135" t="s">
        <v>228</v>
      </c>
      <c r="D28" s="111">
        <f>ROUND($D$3*E28/$E$3,2)</f>
        <v>32.22</v>
      </c>
      <c r="E28" s="134">
        <f>SUM(F28:G28)</f>
        <v>60</v>
      </c>
      <c r="F28" s="142">
        <f>'数据-基础表'!BQ5+'数据-基础表'!BS5</f>
        <v>60</v>
      </c>
      <c r="G28" s="143">
        <f>'数据-基础表'!BR5+'数据-基础表'!BT5</f>
        <v>0</v>
      </c>
      <c r="H28" s="3078"/>
      <c r="I28" s="3078"/>
      <c r="J28" s="3078"/>
      <c r="K28" s="3078"/>
      <c r="L28" s="3078"/>
      <c r="M28" s="3078"/>
      <c r="N28" s="3078"/>
      <c r="O28" s="3078"/>
      <c r="P28" s="3078"/>
    </row>
    <row r="29" spans="1:19">
      <c r="A29" s="137"/>
      <c r="B29" s="115" t="s">
        <v>227</v>
      </c>
      <c r="C29" s="2190" t="s">
        <v>2308</v>
      </c>
      <c r="D29" s="111">
        <f>ROUND($D$3*E29/$E$3,2)</f>
        <v>3808.61</v>
      </c>
      <c r="E29" s="134">
        <f>SUM(F29:G29)</f>
        <v>7093</v>
      </c>
      <c r="F29" s="142">
        <f>'数据-基础表'!BM5+'数据-基础表'!BO5</f>
        <v>3232</v>
      </c>
      <c r="G29" s="144">
        <f>'数据-基础表'!BN5+'数据-基础表'!BP5</f>
        <v>3861</v>
      </c>
      <c r="H29" s="3078"/>
      <c r="I29" s="3078"/>
      <c r="J29" s="3078"/>
      <c r="K29" s="3078"/>
      <c r="L29" s="3078"/>
      <c r="M29" s="3078"/>
      <c r="N29" s="3078"/>
      <c r="O29" s="3078"/>
      <c r="P29" s="3078"/>
    </row>
    <row r="30" spans="1:19">
      <c r="A30" s="137"/>
      <c r="B30" s="111"/>
      <c r="C30" s="145" t="s">
        <v>215</v>
      </c>
      <c r="D30" s="134">
        <f>SUM(D28:D29)</f>
        <v>3840.83</v>
      </c>
      <c r="E30" s="134">
        <f>SUM(E28:E29)</f>
        <v>7153</v>
      </c>
      <c r="F30" s="134">
        <f>SUM(F28:F29)</f>
        <v>3292</v>
      </c>
      <c r="G30" s="112">
        <f>SUM(G28:G29)</f>
        <v>3861</v>
      </c>
      <c r="H30" s="3078"/>
      <c r="I30" s="3078"/>
      <c r="J30" s="3078"/>
      <c r="K30" s="3078"/>
      <c r="L30" s="3078"/>
      <c r="M30" s="3078"/>
      <c r="N30" s="3078"/>
      <c r="O30" s="3078"/>
      <c r="P30" s="3078"/>
    </row>
    <row r="31" spans="1:19" ht="32.25" customHeight="1" thickBot="1">
      <c r="A31" s="1318"/>
      <c r="B31" s="1319" t="s">
        <v>229</v>
      </c>
      <c r="C31" s="2207" t="s">
        <v>2310</v>
      </c>
      <c r="D31" s="1320">
        <f>D27+D30</f>
        <v>178018.61</v>
      </c>
      <c r="E31" s="1320">
        <f>E27+E30</f>
        <v>331534.86</v>
      </c>
      <c r="F31" s="1321">
        <f>F27+F30</f>
        <v>210193.75</v>
      </c>
      <c r="G31" s="1322">
        <f>G27+G30</f>
        <v>121341.11</v>
      </c>
      <c r="H31" s="3078"/>
      <c r="I31" s="3078"/>
      <c r="J31" s="3078"/>
      <c r="K31" s="3078"/>
      <c r="L31" s="3078"/>
      <c r="M31" s="3078"/>
      <c r="N31" s="3078"/>
      <c r="O31" s="3078"/>
      <c r="P31" s="3078"/>
    </row>
    <row r="32" spans="1:19">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C54" sqref="C54"/>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7" t="s">
        <v>235</v>
      </c>
      <c r="B2" s="2215">
        <f>项目基本情况!D3</f>
        <v>44295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2964</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联排</v>
      </c>
      <c r="B6" s="2214" t="str">
        <f>IF(A6=0,"","经营性")</f>
        <v>经营性</v>
      </c>
      <c r="C6" s="171" t="s">
        <v>914</v>
      </c>
      <c r="D6" s="2185">
        <f>SUMIF(项目基本情况!D$15:I$15,C6,项目基本情况!D$18:I$18)</f>
        <v>70</v>
      </c>
      <c r="E6" s="2186">
        <f>IF(B6="","",SUMIF(项目基本情况!D$15:I$15,C6,项目基本情况!D$17:I$17))</f>
        <v>69680</v>
      </c>
      <c r="F6" s="172">
        <f>SUMIF(项目基本情况!D$15:I$15,C6,项目基本情况!D$19:I$19)</f>
        <v>69.540000000000006</v>
      </c>
      <c r="G6" s="173">
        <f>IF(ISERROR(ROUND(POWER(1+H6,D6-F6)*(POWER(1+H6,F6)-1)/(POWER(1+H6,D6)-1),3)),0,ROUND(POWER(1+H6,D6-F6)*(POWER(1+H6,F6)-1)/(POWER(1+H6,D6)-1),3))</f>
        <v>0.999</v>
      </c>
      <c r="H6" s="2735">
        <v>0.04</v>
      </c>
      <c r="I6" s="2735">
        <v>4.4999999999999998E-2</v>
      </c>
      <c r="J6" s="174">
        <v>8.5000000000000006E-2</v>
      </c>
      <c r="K6" s="177">
        <f>SUMIF('数据-汇总表'!C$19:C$33,'数据-取费表'!A6,'数据-汇总表'!E$19:E$33)</f>
        <v>107417.75</v>
      </c>
      <c r="L6" s="3303">
        <v>2500</v>
      </c>
      <c r="M6" s="175">
        <f t="shared" ref="M6:M14" si="0">ROUND(K6*L6/10000,0)</f>
        <v>26854</v>
      </c>
      <c r="N6" s="2736">
        <v>0</v>
      </c>
      <c r="O6" s="175">
        <f>IF($N$5="成新度","——",ROUND(M6*N6,0))</f>
        <v>0</v>
      </c>
      <c r="P6" s="176">
        <f>IF($N$5="成新度","——",M6-O6)</f>
        <v>26854</v>
      </c>
      <c r="Q6" s="2737">
        <v>0.3</v>
      </c>
      <c r="R6" s="177">
        <f>SUMIF('数据-汇总表'!C$19:C$33,A6,'数据-汇总表'!R$19:R$33)</f>
        <v>57688.939999999995</v>
      </c>
      <c r="S6" s="132">
        <f>IF('数据-汇总表'!$I$17="按面积比例",SUMIF('数据-汇总表'!C$19:C$33,A6,'数据-汇总表'!K$19:K$33),SUMIF('数据-汇总表'!C$19:C$33,A6,'数据-汇总表'!N$19:N$33))</f>
        <v>19.87</v>
      </c>
      <c r="T6" s="2111">
        <f>IF($T$4="按面积比例",IF(ISERROR(ROUND($M$14*S6/S$16,0)),"0",ROUND($M$14*S6/S$16,0)),"需自行计算录入")</f>
        <v>5</v>
      </c>
      <c r="U6" s="178"/>
      <c r="V6" s="179"/>
      <c r="W6" s="179"/>
      <c r="X6" s="2198"/>
      <c r="Y6" s="180">
        <v>1</v>
      </c>
      <c r="Z6" s="181"/>
      <c r="AA6" s="174"/>
      <c r="AB6" s="174"/>
      <c r="AC6" s="2201"/>
      <c r="AD6" s="182"/>
      <c r="AE6" s="958">
        <f ca="1">IF(AN6="",0,SUMIF(INDIRECT("'"&amp;AN6&amp;"'"&amp;"!E:E"),$AE$5,INDIRECT("'"&amp;AN6&amp;"'"&amp;"!F:F")))</f>
        <v>0</v>
      </c>
      <c r="AF6" s="139"/>
      <c r="AG6" s="1194">
        <f>IF(AF6="",0,AE6-AF6)</f>
        <v>0</v>
      </c>
      <c r="AH6" s="139"/>
      <c r="AI6" s="185"/>
      <c r="AJ6" s="186"/>
      <c r="AK6" s="187">
        <v>1.4999999999999999E-2</v>
      </c>
      <c r="AL6" s="188">
        <v>1.5E-3</v>
      </c>
      <c r="AM6" s="2748">
        <v>1.4999999999999999E-2</v>
      </c>
      <c r="AN6" s="2244"/>
      <c r="AO6" s="3088"/>
      <c r="AP6" s="1185">
        <f>ROUND(1-1/(1+H6)^F6,3)</f>
        <v>0.93500000000000005</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高层</v>
      </c>
      <c r="B7" s="2214" t="str">
        <f t="shared" ref="B7:B13" si="1">IF(A7=0,"","经营性")</f>
        <v>经营性</v>
      </c>
      <c r="C7" s="171" t="s">
        <v>914</v>
      </c>
      <c r="D7" s="2185">
        <f>SUMIF(项目基本情况!D$15:I$15,C7,项目基本情况!D$18:I$18)</f>
        <v>70</v>
      </c>
      <c r="E7" s="2186">
        <f>IF(B7="","",SUMIF(项目基本情况!D$15:I$15,C7,项目基本情况!D$17:I$17))</f>
        <v>69680</v>
      </c>
      <c r="F7" s="172">
        <f>SUMIF(项目基本情况!D$15:I$15,C7,项目基本情况!D$19:I$19)</f>
        <v>69.540000000000006</v>
      </c>
      <c r="G7" s="173">
        <f t="shared" ref="G7:G11" si="2">IF(ISERROR(ROUND(POWER(1+H7,D7-F7)*(POWER(1+H7,F7)-1)/(POWER(1+H7,D7)-1),3)),0,ROUND(POWER(1+H7,D7-F7)*(POWER(1+H7,F7)-1)/(POWER(1+H7,D7)-1),3))</f>
        <v>0.999</v>
      </c>
      <c r="H7" s="2735">
        <v>0.04</v>
      </c>
      <c r="I7" s="2735">
        <v>4.4999999999999998E-2</v>
      </c>
      <c r="J7" s="174">
        <v>8.5000000000000006E-2</v>
      </c>
      <c r="K7" s="177">
        <f>SUMIF('数据-汇总表'!C$19:C$33,'数据-取费表'!A7,'数据-汇总表'!E$19:E$33)</f>
        <v>97984</v>
      </c>
      <c r="L7" s="3303">
        <f>L6</f>
        <v>2500</v>
      </c>
      <c r="M7" s="175">
        <f t="shared" si="0"/>
        <v>24496</v>
      </c>
      <c r="N7" s="2736">
        <v>0</v>
      </c>
      <c r="O7" s="175">
        <f t="shared" ref="O7:O14" si="3">IF($N$5="成新度","——",ROUND(M7*N7,0))</f>
        <v>0</v>
      </c>
      <c r="P7" s="176">
        <f t="shared" ref="P7:P14" si="4">IF($N$5="成新度","——",M7-O7)</f>
        <v>24496</v>
      </c>
      <c r="Q7" s="2737">
        <v>0.15</v>
      </c>
      <c r="R7" s="177">
        <f>SUMIF('数据-汇总表'!C$19:C$33,A7,'数据-汇总表'!R$19:R$33)</f>
        <v>52622.520000000004</v>
      </c>
      <c r="S7" s="132">
        <f>IF('数据-汇总表'!$I$17="按面积比例",SUMIF('数据-汇总表'!C$19:C$33,A7,'数据-汇总表'!K$19:K$33),SUMIF('数据-汇总表'!C$19:C$33,A7,'数据-汇总表'!N$19:N$33))</f>
        <v>18.12</v>
      </c>
      <c r="T7" s="2111">
        <f t="shared" ref="T7:T13" si="5">IF($T$4="按面积比例",IF(ISERROR(ROUND($M$14*S7/S$16,0)),"0",ROUND($M$14*S7/S$16,0)),"需自行计算录入")</f>
        <v>5</v>
      </c>
      <c r="U7" s="178"/>
      <c r="V7" s="179"/>
      <c r="W7" s="179"/>
      <c r="X7" s="2198"/>
      <c r="Y7" s="180">
        <v>1</v>
      </c>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v>1.4999999999999999E-2</v>
      </c>
      <c r="AL7" s="188">
        <v>1.5E-3</v>
      </c>
      <c r="AM7" s="2748">
        <v>1.4999999999999999E-2</v>
      </c>
      <c r="AN7" s="2244"/>
      <c r="AO7" s="3088"/>
      <c r="AP7" s="1185">
        <f t="shared" ref="AP7:AP13" si="8">ROUND(1-1/(1+H7)^F7,3)</f>
        <v>0.93500000000000005</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车库</v>
      </c>
      <c r="B8" s="2214" t="str">
        <f t="shared" si="1"/>
        <v>经营性</v>
      </c>
      <c r="C8" s="171" t="s">
        <v>3015</v>
      </c>
      <c r="D8" s="2185">
        <f>SUMIF(项目基本情况!D$15:I$15,C8,项目基本情况!D$18:I$18)</f>
        <v>50</v>
      </c>
      <c r="E8" s="2186">
        <f>IF(B8="","",SUMIF(项目基本情况!D$15:I$15,C8,项目基本情况!D$17:I$17))</f>
        <v>62375</v>
      </c>
      <c r="F8" s="172">
        <f>SUMIF(项目基本情况!D$15:I$15,C8,项目基本情况!D$19:I$19)</f>
        <v>49.53</v>
      </c>
      <c r="G8" s="173">
        <f t="shared" si="2"/>
        <v>0.997</v>
      </c>
      <c r="H8" s="2735">
        <v>4.4999999999999998E-2</v>
      </c>
      <c r="I8" s="2735">
        <v>0.05</v>
      </c>
      <c r="J8" s="174">
        <v>8.5000000000000006E-2</v>
      </c>
      <c r="K8" s="177">
        <f>SUMIF('数据-汇总表'!C$19:C$33,'数据-取费表'!A8,'数据-汇总表'!E$19:E$33)</f>
        <v>117480.11</v>
      </c>
      <c r="L8" s="3303">
        <f>L6</f>
        <v>2500</v>
      </c>
      <c r="M8" s="175">
        <f>ROUND(K8*L8/10000,0)</f>
        <v>29370</v>
      </c>
      <c r="N8" s="2736">
        <v>0</v>
      </c>
      <c r="O8" s="175">
        <f t="shared" si="3"/>
        <v>0</v>
      </c>
      <c r="P8" s="176">
        <f t="shared" si="4"/>
        <v>29370</v>
      </c>
      <c r="Q8" s="2737">
        <v>0.05</v>
      </c>
      <c r="R8" s="177">
        <f>SUMIF('数据-汇总表'!C$19:C$33,A8,'数据-汇总表'!R$19:R$33)</f>
        <v>63092.959999999999</v>
      </c>
      <c r="S8" s="132">
        <f>IF('数据-汇总表'!$I$17="按面积比例",SUMIF('数据-汇总表'!C$19:C$33,A8,'数据-汇总表'!K$19:K$33),SUMIF('数据-汇总表'!C$19:C$33,A8,'数据-汇总表'!N$19:N$33))</f>
        <v>21.73</v>
      </c>
      <c r="T8" s="2111">
        <f t="shared" si="5"/>
        <v>5</v>
      </c>
      <c r="U8" s="178">
        <v>450</v>
      </c>
      <c r="V8" s="179">
        <v>0.02</v>
      </c>
      <c r="W8" s="179">
        <v>0.1</v>
      </c>
      <c r="X8" s="2198"/>
      <c r="Y8" s="180">
        <v>1</v>
      </c>
      <c r="Z8" s="181"/>
      <c r="AA8" s="174"/>
      <c r="AB8" s="174"/>
      <c r="AC8" s="2201"/>
      <c r="AD8" s="182"/>
      <c r="AE8" s="958">
        <f t="shared" ca="1" si="6"/>
        <v>46.53</v>
      </c>
      <c r="AF8" s="139"/>
      <c r="AG8" s="1194">
        <f t="shared" si="7"/>
        <v>0</v>
      </c>
      <c r="AH8" s="139">
        <v>2759</v>
      </c>
      <c r="AI8" s="185">
        <v>12</v>
      </c>
      <c r="AJ8" s="186"/>
      <c r="AK8" s="187">
        <v>1.4999999999999999E-2</v>
      </c>
      <c r="AL8" s="188">
        <v>1.5E-3</v>
      </c>
      <c r="AM8" s="2748">
        <v>0.01</v>
      </c>
      <c r="AN8" s="2244" t="s">
        <v>3075</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商业</v>
      </c>
      <c r="B9" s="2214" t="str">
        <f t="shared" si="1"/>
        <v>经营性</v>
      </c>
      <c r="C9" s="171" t="s">
        <v>2999</v>
      </c>
      <c r="D9" s="2185">
        <f>SUMIF(项目基本情况!D$15:I$15,C9,项目基本情况!D$18:I$18)</f>
        <v>40</v>
      </c>
      <c r="E9" s="2186">
        <f>IF(B9="","",SUMIF(项目基本情况!D$15:I$15,C9,项目基本情况!D$17:I$17))</f>
        <v>58723</v>
      </c>
      <c r="F9" s="172">
        <f>SUMIF(项目基本情况!D$15:I$15,C9,项目基本情况!D$19:I$19)</f>
        <v>39.520000000000003</v>
      </c>
      <c r="G9" s="173">
        <f t="shared" si="2"/>
        <v>0.996</v>
      </c>
      <c r="H9" s="174">
        <v>0.05</v>
      </c>
      <c r="I9" s="174">
        <v>5.5E-2</v>
      </c>
      <c r="J9" s="174">
        <v>8.5000000000000006E-2</v>
      </c>
      <c r="K9" s="177">
        <f>SUMIF('数据-汇总表'!C$19:C$33,'数据-取费表'!A9,'数据-汇总表'!E$19:E$33)</f>
        <v>1500</v>
      </c>
      <c r="L9" s="3304">
        <f>L6</f>
        <v>2500</v>
      </c>
      <c r="M9" s="175">
        <f t="shared" si="0"/>
        <v>375</v>
      </c>
      <c r="N9" s="192">
        <v>0</v>
      </c>
      <c r="O9" s="175">
        <f t="shared" si="3"/>
        <v>0</v>
      </c>
      <c r="P9" s="176">
        <f t="shared" si="4"/>
        <v>375</v>
      </c>
      <c r="Q9" s="190">
        <v>0.2</v>
      </c>
      <c r="R9" s="177">
        <f>SUMIF('数据-汇总表'!C$19:C$33,A9,'数据-汇总表'!R$19:R$33)</f>
        <v>805.57999999999993</v>
      </c>
      <c r="S9" s="132">
        <f>IF('数据-汇总表'!$I$17="按面积比例",SUMIF('数据-汇总表'!C$19:C$33,A9,'数据-汇总表'!K$19:K$33),SUMIF('数据-汇总表'!C$19:C$33,A9,'数据-汇总表'!N$19:N$33))</f>
        <v>0.28000000000000003</v>
      </c>
      <c r="T9" s="2111">
        <f t="shared" si="5"/>
        <v>0</v>
      </c>
      <c r="U9" s="178">
        <v>2</v>
      </c>
      <c r="V9" s="179">
        <v>0.03</v>
      </c>
      <c r="W9" s="179">
        <v>0.1</v>
      </c>
      <c r="X9" s="2198"/>
      <c r="Y9" s="180">
        <v>1</v>
      </c>
      <c r="Z9" s="181"/>
      <c r="AA9" s="174"/>
      <c r="AB9" s="174"/>
      <c r="AC9" s="2201"/>
      <c r="AD9" s="182"/>
      <c r="AE9" s="958">
        <f t="shared" ca="1" si="6"/>
        <v>36.520000000000003</v>
      </c>
      <c r="AF9" s="139"/>
      <c r="AG9" s="1194">
        <f t="shared" si="7"/>
        <v>0</v>
      </c>
      <c r="AH9" s="139"/>
      <c r="AI9" s="185">
        <v>365</v>
      </c>
      <c r="AJ9" s="186"/>
      <c r="AK9" s="187">
        <v>1.4999999999999999E-2</v>
      </c>
      <c r="AL9" s="188">
        <v>1.5E-3</v>
      </c>
      <c r="AM9" s="2242">
        <v>1.4999999999999999E-2</v>
      </c>
      <c r="AN9" s="2244" t="s">
        <v>3141</v>
      </c>
      <c r="AO9" s="3088"/>
      <c r="AP9" s="1185">
        <f t="shared" si="8"/>
        <v>0.85499999999999998</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v>
      </c>
      <c r="L14" s="3304">
        <f>L8</f>
        <v>2500</v>
      </c>
      <c r="M14" s="175">
        <f t="shared" si="0"/>
        <v>15</v>
      </c>
      <c r="N14" s="192">
        <v>0</v>
      </c>
      <c r="O14" s="175">
        <f t="shared" si="3"/>
        <v>0</v>
      </c>
      <c r="P14" s="176">
        <f t="shared" si="4"/>
        <v>15</v>
      </c>
      <c r="Q14" s="2195"/>
      <c r="R14" s="177"/>
      <c r="S14" s="132"/>
      <c r="T14" s="2194"/>
      <c r="U14" s="960"/>
      <c r="V14" s="2197"/>
      <c r="W14" s="2197"/>
      <c r="X14" s="2198"/>
      <c r="Y14" s="2199"/>
      <c r="Z14" s="135"/>
      <c r="AA14" s="2200"/>
      <c r="AB14" s="2200"/>
      <c r="AC14" s="2201"/>
      <c r="AD14" s="2198"/>
      <c r="AE14" s="958"/>
      <c r="AF14" s="2173"/>
      <c r="AG14" s="1194"/>
      <c r="AH14" s="2173"/>
      <c r="AI14" s="1503"/>
      <c r="AJ14" s="1503"/>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7093</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3"/>
      <c r="AJ15" s="1503"/>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0.998</v>
      </c>
      <c r="H16" s="201">
        <f>ROUND(SUMPRODUCT(H6:H13,K6:K13)/SUMPRODUCT((H6:H13&gt;0)*(K6:K13)),3)</f>
        <v>4.2000000000000003E-2</v>
      </c>
      <c r="I16" s="202"/>
      <c r="J16" s="202"/>
      <c r="K16" s="203">
        <f>SUM(K6:K15)</f>
        <v>331534.86</v>
      </c>
      <c r="L16" s="204">
        <f>ROUND(M16*10000/SUM(K6:K14),0)</f>
        <v>2500</v>
      </c>
      <c r="M16" s="204">
        <f>SUM(M6:M14)</f>
        <v>81110</v>
      </c>
      <c r="N16" s="205">
        <f>ROUND(SUMPRODUCT(M6:M14,N6:N14)/M16,3)</f>
        <v>0</v>
      </c>
      <c r="O16" s="204">
        <f>SUM(O6:O14)</f>
        <v>0</v>
      </c>
      <c r="P16" s="204">
        <f>SUM(P6:P14)</f>
        <v>81110</v>
      </c>
      <c r="Q16" s="206">
        <f>ROUND(SUMPRODUCT(Q6:Q13,K6:K13)/SUMPRODUCT((Q6:Q13&gt;0)*(K6:K13)),2)</f>
        <v>0.16</v>
      </c>
      <c r="R16" s="2188">
        <f>SUM(R6:R13)</f>
        <v>174209.99999999997</v>
      </c>
      <c r="S16" s="207">
        <f>SUM(S6:S13)</f>
        <v>60</v>
      </c>
      <c r="T16" s="208">
        <f>IF(SUMIF(T6:T13,"&lt;9E307")=M14,SUMIF(T6:T13,"&lt;9E307"),"有误，请检查")</f>
        <v>15</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0.91700000000000004</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264</v>
      </c>
      <c r="B19" s="216">
        <v>0</v>
      </c>
      <c r="C19" s="3100" t="s">
        <v>2976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265</v>
      </c>
      <c r="B20" s="218">
        <v>3</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266</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267</v>
      </c>
      <c r="B22" s="220">
        <f>B19+B20</f>
        <v>3</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268</v>
      </c>
      <c r="B23" s="220">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3</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4" t="s">
        <v>2325</v>
      </c>
      <c r="B27" s="225">
        <v>50</v>
      </c>
      <c r="C27" s="3101" t="s">
        <v>2977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30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200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3" t="s">
        <v>2965</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0.03</v>
      </c>
      <c r="C34" s="3103" t="s">
        <v>2966</v>
      </c>
      <c r="D34" s="3104" t="s">
        <v>2973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276</v>
      </c>
      <c r="B35" s="227">
        <v>200</v>
      </c>
      <c r="C35" s="3103" t="s">
        <v>2967</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2968</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280</v>
      </c>
      <c r="B37" s="234">
        <v>0.02</v>
      </c>
      <c r="C37" s="3103" t="s">
        <v>2969</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281</v>
      </c>
      <c r="B38" s="231">
        <v>0.02</v>
      </c>
      <c r="C38" s="3103" t="s">
        <v>2969</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3275" t="s">
        <v>3164</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285</v>
      </c>
      <c r="B44" s="240">
        <v>0.05</v>
      </c>
      <c r="C44" s="3103" t="s">
        <v>2974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286</v>
      </c>
      <c r="B45" s="238">
        <v>0.03</v>
      </c>
      <c r="C45" s="3106" t="s">
        <v>2970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287</v>
      </c>
      <c r="B46" s="238">
        <v>0.02</v>
      </c>
      <c r="C46" s="3106" t="s">
        <v>2971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v>0</v>
      </c>
      <c r="C47" s="3101" t="s">
        <v>2978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289</v>
      </c>
      <c r="B48" s="244">
        <v>0.03</v>
      </c>
      <c r="C48" s="3106" t="s">
        <v>2970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293</v>
      </c>
      <c r="B52" s="248">
        <f>SUMIF(A54:A63,B53,B54:B63)</f>
        <v>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294</v>
      </c>
      <c r="B53" s="249" t="s">
        <v>3170</v>
      </c>
      <c r="C53" s="3096" t="s">
        <v>2871</v>
      </c>
      <c r="D53" s="3107" t="s">
        <v>2975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3171</v>
      </c>
      <c r="B54" s="184">
        <v>2</v>
      </c>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395" t="s">
        <v>1654</v>
      </c>
      <c r="B1" s="3396"/>
      <c r="C1" s="3396"/>
      <c r="D1" s="3396"/>
      <c r="E1" s="3396"/>
      <c r="F1" s="3396"/>
      <c r="G1" s="3396"/>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2878</v>
      </c>
      <c r="D3" s="3123"/>
      <c r="E3" s="3124" t="s">
        <v>1657</v>
      </c>
      <c r="F3" s="3125" t="s">
        <v>1645</v>
      </c>
      <c r="G3" s="3126" t="s">
        <v>2877</v>
      </c>
      <c r="H3" s="3119"/>
      <c r="I3" s="3119"/>
      <c r="J3" s="3119"/>
      <c r="K3" s="3119"/>
      <c r="L3" s="3119"/>
      <c r="M3" s="3119"/>
      <c r="N3" s="3119"/>
      <c r="O3" s="3119"/>
      <c r="P3" s="3119"/>
      <c r="Q3" s="3119"/>
      <c r="R3" s="3119"/>
    </row>
    <row r="4" spans="1:18" ht="40.5">
      <c r="A4" s="3124"/>
      <c r="B4" s="3127" t="s">
        <v>1658</v>
      </c>
      <c r="C4" s="3128" t="s">
        <v>2879</v>
      </c>
      <c r="D4" s="3123"/>
      <c r="E4" s="3129"/>
      <c r="F4" s="3130" t="s">
        <v>1659</v>
      </c>
      <c r="G4" s="3131" t="s">
        <v>2874</v>
      </c>
      <c r="H4" s="3119"/>
      <c r="I4" s="3119"/>
      <c r="J4" s="3119"/>
      <c r="K4" s="3119"/>
      <c r="L4" s="3119"/>
      <c r="M4" s="3119"/>
      <c r="N4" s="3119"/>
      <c r="O4" s="3119"/>
      <c r="P4" s="3119"/>
      <c r="Q4" s="3119"/>
      <c r="R4" s="3119"/>
    </row>
    <row r="5" spans="1:18" ht="41.25">
      <c r="A5" s="3124"/>
      <c r="B5" s="3127" t="s">
        <v>1660</v>
      </c>
      <c r="C5" s="3128" t="s">
        <v>2880</v>
      </c>
      <c r="D5" s="3123"/>
      <c r="E5" s="3129"/>
      <c r="F5" s="3127" t="s">
        <v>2527</v>
      </c>
      <c r="G5" s="3131" t="s">
        <v>2875</v>
      </c>
      <c r="H5" s="3119"/>
      <c r="I5" s="3119"/>
      <c r="J5" s="3119"/>
      <c r="K5" s="3119"/>
      <c r="L5" s="3119"/>
      <c r="M5" s="3119"/>
      <c r="N5" s="3119"/>
      <c r="O5" s="3119"/>
      <c r="P5" s="3119"/>
      <c r="Q5" s="3119"/>
      <c r="R5" s="3119"/>
    </row>
    <row r="6" spans="1:18" ht="40.5">
      <c r="A6" s="3124"/>
      <c r="B6" s="3127" t="s">
        <v>1646</v>
      </c>
      <c r="C6" s="3131" t="s">
        <v>2874</v>
      </c>
      <c r="D6" s="3123"/>
      <c r="E6" s="3129"/>
      <c r="F6" s="3127" t="s">
        <v>2528</v>
      </c>
      <c r="G6" s="3131" t="s">
        <v>2872</v>
      </c>
      <c r="H6" s="3119"/>
      <c r="I6" s="3119"/>
      <c r="J6" s="3119"/>
      <c r="K6" s="3119"/>
      <c r="L6" s="3119"/>
      <c r="M6" s="3119"/>
      <c r="N6" s="3119"/>
      <c r="O6" s="3119"/>
      <c r="P6" s="3119"/>
      <c r="Q6" s="3119"/>
      <c r="R6" s="3119"/>
    </row>
    <row r="7" spans="1:18" ht="27.75" thickBot="1">
      <c r="A7" s="3124"/>
      <c r="B7" s="3127" t="s">
        <v>2527</v>
      </c>
      <c r="C7" s="3131" t="s">
        <v>2875</v>
      </c>
      <c r="D7" s="3132"/>
      <c r="E7" s="3133"/>
      <c r="F7" s="3134" t="s">
        <v>1661</v>
      </c>
      <c r="G7" s="3135" t="s">
        <v>2876</v>
      </c>
      <c r="H7" s="3119"/>
      <c r="I7" s="3119"/>
      <c r="J7" s="3119"/>
      <c r="K7" s="3119"/>
      <c r="L7" s="3119"/>
      <c r="M7" s="3119"/>
      <c r="N7" s="3119"/>
      <c r="O7" s="3119"/>
      <c r="P7" s="3119"/>
      <c r="Q7" s="3119"/>
      <c r="R7" s="3119"/>
    </row>
    <row r="8" spans="1:18">
      <c r="A8" s="3124"/>
      <c r="B8" s="3127" t="s">
        <v>2528</v>
      </c>
      <c r="C8" s="3131" t="s">
        <v>2872</v>
      </c>
      <c r="D8" s="3132"/>
      <c r="E8" s="3132"/>
      <c r="F8" s="3136"/>
      <c r="G8" s="3136"/>
      <c r="H8" s="3119"/>
      <c r="I8" s="3119"/>
      <c r="J8" s="3119"/>
      <c r="K8" s="3119"/>
      <c r="L8" s="3119"/>
      <c r="M8" s="3119"/>
      <c r="N8" s="3119"/>
      <c r="O8" s="3119"/>
      <c r="P8" s="3119"/>
      <c r="Q8" s="3119"/>
      <c r="R8" s="3119"/>
    </row>
    <row r="9" spans="1:18" ht="27">
      <c r="A9" s="3124"/>
      <c r="B9" s="3127" t="s">
        <v>1647</v>
      </c>
      <c r="C9" s="3128" t="s">
        <v>2873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49" sqref="F49"/>
    </sheetView>
  </sheetViews>
  <sheetFormatPr defaultColWidth="14.625" defaultRowHeight="13.5"/>
  <cols>
    <col min="1" max="1" width="24.375" style="3182" customWidth="1"/>
    <col min="2" max="16384" width="14.625" style="3182"/>
  </cols>
  <sheetData>
    <row r="1" spans="1:10" ht="16.5">
      <c r="A1" s="3181" t="s">
        <v>2823</v>
      </c>
      <c r="B1" s="3181">
        <f>SUM(B14:B23)</f>
        <v>331534.86</v>
      </c>
      <c r="C1" s="3190"/>
      <c r="D1" s="3190"/>
      <c r="E1" s="3190"/>
      <c r="F1" s="3190"/>
      <c r="G1" s="3191"/>
      <c r="H1" s="3191"/>
      <c r="I1" s="3191"/>
      <c r="J1" s="3191"/>
    </row>
    <row r="2" spans="1:10" ht="16.5">
      <c r="A2" s="3181" t="s">
        <v>2824</v>
      </c>
      <c r="B2" s="3181">
        <f>SUM(C14:C23)</f>
        <v>178018.61</v>
      </c>
      <c r="C2" s="3190"/>
      <c r="D2" s="3190"/>
      <c r="E2" s="3190"/>
      <c r="F2" s="3190"/>
      <c r="G2" s="3191"/>
      <c r="H2" s="3191"/>
      <c r="I2" s="3191"/>
      <c r="J2" s="3191"/>
    </row>
    <row r="3" spans="1:10" ht="16.5">
      <c r="A3" s="3181" t="s">
        <v>2825</v>
      </c>
      <c r="B3" s="3183">
        <f>项目基本情况!D3</f>
        <v>44295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28509</v>
      </c>
      <c r="C5" s="3181">
        <f ca="1">ROUND(B5*10000/$B$1,0)</f>
        <v>860</v>
      </c>
      <c r="D5" s="3181">
        <f ca="1">ROUND(B5*10000/$B$2,0)</f>
        <v>1601</v>
      </c>
      <c r="E5" s="3190"/>
      <c r="F5" s="3190"/>
      <c r="G5" s="3191"/>
      <c r="H5" s="3191"/>
      <c r="I5" s="3191"/>
      <c r="J5" s="3191"/>
    </row>
    <row r="6" spans="1:10" ht="16.5">
      <c r="A6" s="3181" t="s">
        <v>2831</v>
      </c>
      <c r="B6" s="3181">
        <f ca="1">SUM(G14:G23)</f>
        <v>28509</v>
      </c>
      <c r="C6" s="3181">
        <f t="shared" ref="C6:C8" ca="1" si="0">ROUND(B6*10000/$B$1,0)</f>
        <v>860</v>
      </c>
      <c r="D6" s="3181">
        <f t="shared" ref="D6:D8" ca="1" si="1">ROUND(B6*10000/$B$2,0)</f>
        <v>1601</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 ca="1">SUM(I14:I23)</f>
        <v>27002</v>
      </c>
      <c r="C8" s="3181">
        <f t="shared" ca="1" si="0"/>
        <v>814</v>
      </c>
      <c r="D8" s="3181">
        <f t="shared" ca="1" si="1"/>
        <v>1517</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331534.86</v>
      </c>
      <c r="C14" s="3187">
        <f>结果表!K38</f>
        <v>178018.61</v>
      </c>
      <c r="D14" s="3187">
        <f ca="1">结果表!C42</f>
        <v>28509</v>
      </c>
      <c r="E14" s="3187">
        <f ca="1">ROUND(D14*10000/B14,0)</f>
        <v>860</v>
      </c>
      <c r="F14" s="3187">
        <f ca="1">ROUND(D14*10000/C14,0)</f>
        <v>1601</v>
      </c>
      <c r="G14" s="3187">
        <f ca="1">结果表!C44</f>
        <v>28509</v>
      </c>
      <c r="H14" s="3187" t="str">
        <f>结果表!C45</f>
        <v>——</v>
      </c>
      <c r="I14" s="3187">
        <f ca="1">结果表!C46</f>
        <v>27002</v>
      </c>
      <c r="J14" s="3191"/>
    </row>
    <row r="15" spans="1:10" ht="16.5">
      <c r="A15" s="3186" t="s">
        <v>2840</v>
      </c>
      <c r="B15" s="3188"/>
      <c r="C15" s="3188"/>
      <c r="D15" s="3188"/>
      <c r="E15" s="3187" t="e">
        <f t="shared" ref="E15:E23" si="2">ROUND(D15*10000/B15,0)</f>
        <v>#DIV/0!</v>
      </c>
      <c r="F15" s="3187" t="e">
        <f t="shared" ref="F15:F23" si="3">ROUND(D15*10000/C15,0)</f>
        <v>#DIV/0!</v>
      </c>
      <c r="G15" s="2753"/>
      <c r="H15" s="2753"/>
      <c r="I15" s="3188"/>
      <c r="J15" s="3191"/>
    </row>
    <row r="16" spans="1:10" ht="16.5">
      <c r="A16" s="3186" t="s">
        <v>2841</v>
      </c>
      <c r="B16" s="3188"/>
      <c r="C16" s="3188"/>
      <c r="D16" s="3188"/>
      <c r="E16" s="3187" t="e">
        <f t="shared" si="2"/>
        <v>#DIV/0!</v>
      </c>
      <c r="F16" s="3187" t="e">
        <f t="shared" si="3"/>
        <v>#DIV/0!</v>
      </c>
      <c r="G16" s="2753"/>
      <c r="H16" s="2753"/>
      <c r="I16" s="3188"/>
      <c r="J16" s="3191"/>
    </row>
    <row r="17" spans="1:10" ht="16.5">
      <c r="A17" s="3186" t="s">
        <v>2842</v>
      </c>
      <c r="B17" s="3188"/>
      <c r="C17" s="3188"/>
      <c r="D17" s="3188"/>
      <c r="E17" s="3187" t="e">
        <f t="shared" si="2"/>
        <v>#DIV/0!</v>
      </c>
      <c r="F17" s="3187" t="e">
        <f t="shared" si="3"/>
        <v>#DIV/0!</v>
      </c>
      <c r="G17" s="2753"/>
      <c r="H17" s="2753"/>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0" zoomScaleNormal="100" zoomScaleSheetLayoutView="100" zoomScalePageLayoutView="80" workbookViewId="0">
      <selection activeCell="H25" sqref="H25"/>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41" t="str">
        <f>项目基本情况!K2</f>
        <v>黔南布衣苗族自治州龙里县龙山镇比孟村出让国有建设用地使用权</v>
      </c>
      <c r="B2" s="3442"/>
      <c r="C2" s="3443"/>
      <c r="D2" s="3443"/>
      <c r="E2" s="3443"/>
      <c r="F2" s="3443"/>
      <c r="G2" s="3442"/>
      <c r="H2" s="3442"/>
      <c r="I2" s="3444"/>
      <c r="J2" s="1910"/>
      <c r="K2" s="1909"/>
      <c r="L2" s="1909"/>
      <c r="M2" s="1909"/>
      <c r="N2" s="1909"/>
      <c r="O2" s="1909"/>
      <c r="P2" s="1909"/>
      <c r="Q2" s="1909"/>
      <c r="R2" s="1909"/>
      <c r="S2" s="1909"/>
      <c r="T2" s="1909"/>
      <c r="U2" s="1909"/>
      <c r="V2" s="1909"/>
    </row>
    <row r="3" spans="1:22" ht="14.25">
      <c r="A3" s="3434" t="s">
        <v>298</v>
      </c>
      <c r="B3" s="3435"/>
      <c r="C3" s="3435"/>
      <c r="D3" s="3435"/>
      <c r="E3" s="3435"/>
      <c r="F3" s="3435"/>
      <c r="G3" s="3435"/>
      <c r="H3" s="3435"/>
      <c r="I3" s="3435"/>
      <c r="J3" s="1910"/>
      <c r="K3" s="1909"/>
      <c r="L3" s="1909"/>
      <c r="M3" s="1909"/>
      <c r="N3" s="1909"/>
      <c r="O3" s="1909"/>
      <c r="P3" s="1909"/>
      <c r="Q3" s="1909"/>
      <c r="R3" s="1909"/>
      <c r="S3" s="1909"/>
      <c r="T3" s="1909"/>
      <c r="U3" s="1909"/>
      <c r="V3" s="1909"/>
    </row>
    <row r="4" spans="1:22" ht="14.25">
      <c r="A4" s="256" t="s">
        <v>299</v>
      </c>
      <c r="B4" s="257" t="s">
        <v>300</v>
      </c>
      <c r="C4" s="258" t="s">
        <v>3073</v>
      </c>
      <c r="D4" s="258" t="s">
        <v>3074</v>
      </c>
      <c r="E4" s="3400" t="s">
        <v>301</v>
      </c>
      <c r="F4" s="3401"/>
      <c r="G4" s="3401"/>
      <c r="H4" s="3401"/>
      <c r="I4" s="3436"/>
      <c r="J4" s="1910"/>
      <c r="K4" s="1909"/>
      <c r="L4" s="3192" t="str">
        <f>IF(ISNUMBER(FIND("比较法",C4)),"比较法",IF(ISNUMBER(FIND("成本法",C4)),"成本法",IF(ISNUMBER(FIND("剩余法",C4)),"剩余法",IF(ISNUMBER(FIND("收益法",C4)),"收益法","基准地价系数修正法"))))</f>
        <v>剩余法</v>
      </c>
      <c r="M4" s="935"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399" t="s">
        <v>302</v>
      </c>
      <c r="B5" s="3428">
        <v>25</v>
      </c>
      <c r="C5" s="3426"/>
      <c r="D5" s="3430"/>
      <c r="E5" s="259" t="s">
        <v>303</v>
      </c>
      <c r="F5" s="260"/>
      <c r="G5" s="260"/>
      <c r="H5" s="260"/>
      <c r="I5" s="261"/>
      <c r="J5" s="1910"/>
      <c r="K5" s="1909"/>
      <c r="L5" s="1909"/>
      <c r="M5" s="1909"/>
      <c r="N5" s="1909"/>
      <c r="O5" s="1909"/>
      <c r="P5" s="1909"/>
      <c r="Q5" s="1909"/>
      <c r="R5" s="1909"/>
      <c r="S5" s="1909"/>
      <c r="T5" s="1909"/>
      <c r="U5" s="1909"/>
      <c r="V5" s="1909"/>
    </row>
    <row r="6" spans="1:22" ht="14.25">
      <c r="A6" s="3399"/>
      <c r="B6" s="3428"/>
      <c r="C6" s="3429"/>
      <c r="D6" s="3430"/>
      <c r="E6" s="259" t="s">
        <v>304</v>
      </c>
      <c r="F6" s="260"/>
      <c r="G6" s="260"/>
      <c r="H6" s="260"/>
      <c r="I6" s="261"/>
      <c r="J6" s="1910"/>
      <c r="K6" s="1909"/>
      <c r="L6" s="1909"/>
      <c r="M6" s="1909"/>
      <c r="N6" s="1909"/>
      <c r="O6" s="1909"/>
      <c r="P6" s="1909"/>
      <c r="Q6" s="1909"/>
      <c r="R6" s="1909"/>
      <c r="S6" s="1909"/>
      <c r="T6" s="1909"/>
      <c r="U6" s="1909"/>
      <c r="V6" s="1909"/>
    </row>
    <row r="7" spans="1:22" ht="14.25">
      <c r="A7" s="3399"/>
      <c r="B7" s="3428"/>
      <c r="C7" s="3427"/>
      <c r="D7" s="3430"/>
      <c r="E7" s="259" t="s">
        <v>305</v>
      </c>
      <c r="F7" s="260"/>
      <c r="G7" s="260"/>
      <c r="H7" s="260"/>
      <c r="I7" s="261"/>
      <c r="J7" s="1910"/>
      <c r="K7" s="1909"/>
      <c r="L7" s="1909"/>
      <c r="M7" s="1909"/>
      <c r="N7" s="1909"/>
      <c r="O7" s="1909"/>
      <c r="P7" s="1909"/>
      <c r="Q7" s="1909"/>
      <c r="R7" s="1909"/>
      <c r="S7" s="1909"/>
      <c r="T7" s="1909"/>
      <c r="U7" s="1909"/>
      <c r="V7" s="1909"/>
    </row>
    <row r="8" spans="1:22" ht="14.25">
      <c r="A8" s="3399" t="s">
        <v>306</v>
      </c>
      <c r="B8" s="3428">
        <v>15</v>
      </c>
      <c r="C8" s="3426"/>
      <c r="D8" s="3430"/>
      <c r="E8" s="259" t="s">
        <v>307</v>
      </c>
      <c r="F8" s="260"/>
      <c r="G8" s="260"/>
      <c r="H8" s="260"/>
      <c r="I8" s="261"/>
      <c r="J8" s="1910"/>
      <c r="K8" s="1909"/>
      <c r="L8" s="1909"/>
      <c r="M8" s="1909"/>
      <c r="N8" s="1909"/>
      <c r="O8" s="1909"/>
      <c r="P8" s="1909"/>
      <c r="Q8" s="1909"/>
      <c r="R8" s="1909"/>
      <c r="S8" s="1909"/>
      <c r="T8" s="1909"/>
      <c r="U8" s="1909"/>
      <c r="V8" s="1909"/>
    </row>
    <row r="9" spans="1:22" ht="14.25">
      <c r="A9" s="3399"/>
      <c r="B9" s="3428"/>
      <c r="C9" s="3427"/>
      <c r="D9" s="3430"/>
      <c r="E9" s="259" t="s">
        <v>308</v>
      </c>
      <c r="F9" s="260"/>
      <c r="G9" s="260"/>
      <c r="H9" s="260"/>
      <c r="I9" s="261"/>
      <c r="J9" s="1910"/>
      <c r="K9" s="1909"/>
      <c r="L9" s="1909"/>
      <c r="M9" s="1909"/>
      <c r="N9" s="1909"/>
      <c r="O9" s="1909"/>
      <c r="P9" s="1909"/>
      <c r="Q9" s="1909"/>
      <c r="R9" s="1909"/>
      <c r="S9" s="1909"/>
      <c r="T9" s="1909"/>
      <c r="U9" s="1909"/>
      <c r="V9" s="1909"/>
    </row>
    <row r="10" spans="1:22" ht="14.25">
      <c r="A10" s="3399" t="s">
        <v>309</v>
      </c>
      <c r="B10" s="3428">
        <v>15</v>
      </c>
      <c r="C10" s="3426"/>
      <c r="D10" s="3430"/>
      <c r="E10" s="259" t="s">
        <v>310</v>
      </c>
      <c r="F10" s="260"/>
      <c r="G10" s="260"/>
      <c r="H10" s="260"/>
      <c r="I10" s="261"/>
      <c r="J10" s="1910"/>
      <c r="K10" s="1909"/>
      <c r="L10" s="1909"/>
      <c r="M10" s="1909"/>
      <c r="N10" s="1909"/>
      <c r="O10" s="1909"/>
      <c r="P10" s="1909"/>
      <c r="Q10" s="1909"/>
      <c r="R10" s="1909"/>
      <c r="S10" s="1909"/>
      <c r="T10" s="1909"/>
      <c r="U10" s="1909"/>
      <c r="V10" s="1909"/>
    </row>
    <row r="11" spans="1:22" ht="14.25">
      <c r="A11" s="3399"/>
      <c r="B11" s="3428"/>
      <c r="C11" s="3427"/>
      <c r="D11" s="3430"/>
      <c r="E11" s="259" t="s">
        <v>311</v>
      </c>
      <c r="F11" s="260"/>
      <c r="G11" s="260"/>
      <c r="H11" s="260"/>
      <c r="I11" s="261"/>
      <c r="J11" s="1910"/>
      <c r="K11" s="1909"/>
      <c r="L11" s="1909"/>
      <c r="M11" s="1909"/>
      <c r="N11" s="1909"/>
      <c r="O11" s="1909"/>
      <c r="P11" s="1909"/>
      <c r="Q11" s="1909"/>
      <c r="R11" s="1909"/>
      <c r="S11" s="1909"/>
      <c r="T11" s="1909"/>
      <c r="U11" s="1909"/>
      <c r="V11" s="1909"/>
    </row>
    <row r="12" spans="1:22" ht="14.25">
      <c r="A12" s="3399" t="s">
        <v>312</v>
      </c>
      <c r="B12" s="3428">
        <v>15</v>
      </c>
      <c r="C12" s="3426"/>
      <c r="D12" s="3430"/>
      <c r="E12" s="259" t="s">
        <v>313</v>
      </c>
      <c r="F12" s="260"/>
      <c r="G12" s="260"/>
      <c r="H12" s="260"/>
      <c r="I12" s="261"/>
      <c r="J12" s="1910"/>
      <c r="K12" s="1909"/>
      <c r="L12" s="1909"/>
      <c r="M12" s="1909"/>
      <c r="N12" s="1909"/>
      <c r="O12" s="1909"/>
      <c r="P12" s="1909"/>
      <c r="Q12" s="1909"/>
      <c r="R12" s="1909"/>
      <c r="S12" s="1909"/>
      <c r="T12" s="1909"/>
      <c r="U12" s="1909"/>
      <c r="V12" s="1909"/>
    </row>
    <row r="13" spans="1:22" ht="14.25">
      <c r="A13" s="3399"/>
      <c r="B13" s="3428"/>
      <c r="C13" s="3427"/>
      <c r="D13" s="3430"/>
      <c r="E13" s="259" t="s">
        <v>314</v>
      </c>
      <c r="F13" s="260"/>
      <c r="G13" s="260"/>
      <c r="H13" s="260"/>
      <c r="I13" s="261"/>
      <c r="J13" s="1910"/>
      <c r="K13" s="1909"/>
      <c r="L13" s="1909"/>
      <c r="M13" s="1909"/>
      <c r="N13" s="1909"/>
      <c r="O13" s="1909"/>
      <c r="P13" s="1909"/>
      <c r="Q13" s="1909"/>
      <c r="R13" s="1909"/>
      <c r="S13" s="1909"/>
      <c r="T13" s="1909"/>
      <c r="U13" s="1909"/>
      <c r="V13" s="1909"/>
    </row>
    <row r="14" spans="1:22" ht="14.25">
      <c r="A14" s="3399" t="s">
        <v>315</v>
      </c>
      <c r="B14" s="3428">
        <v>30</v>
      </c>
      <c r="C14" s="3426">
        <v>6</v>
      </c>
      <c r="D14" s="3430">
        <v>4</v>
      </c>
      <c r="E14" s="259" t="s">
        <v>316</v>
      </c>
      <c r="F14" s="260"/>
      <c r="G14" s="260"/>
      <c r="H14" s="260"/>
      <c r="I14" s="261"/>
      <c r="J14" s="1910"/>
      <c r="K14" s="1909"/>
      <c r="L14" s="1909"/>
      <c r="M14" s="1909"/>
      <c r="N14" s="1909"/>
      <c r="O14" s="1909"/>
      <c r="P14" s="1909"/>
      <c r="Q14" s="1909"/>
      <c r="R14" s="1909"/>
      <c r="S14" s="1909"/>
      <c r="T14" s="1909"/>
      <c r="U14" s="1909"/>
      <c r="V14" s="1909"/>
    </row>
    <row r="15" spans="1:22" ht="14.25">
      <c r="A15" s="3399"/>
      <c r="B15" s="3428"/>
      <c r="C15" s="3429"/>
      <c r="D15" s="3430"/>
      <c r="E15" s="259" t="s">
        <v>317</v>
      </c>
      <c r="F15" s="260"/>
      <c r="G15" s="260"/>
      <c r="H15" s="260"/>
      <c r="I15" s="261"/>
      <c r="J15" s="1910"/>
      <c r="K15" s="1909"/>
      <c r="L15" s="1909"/>
      <c r="M15" s="1909"/>
      <c r="N15" s="1909"/>
      <c r="O15" s="1909"/>
      <c r="P15" s="1909"/>
      <c r="Q15" s="1909"/>
      <c r="R15" s="1909"/>
      <c r="S15" s="1909"/>
      <c r="T15" s="1909"/>
      <c r="U15" s="1909"/>
      <c r="V15" s="1909"/>
    </row>
    <row r="16" spans="1:22" ht="14.25">
      <c r="A16" s="3399"/>
      <c r="B16" s="3428"/>
      <c r="C16" s="3427"/>
      <c r="D16" s="3430"/>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6</v>
      </c>
      <c r="D17" s="263">
        <f>SUM(D5:D16)</f>
        <v>4</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0.6</v>
      </c>
      <c r="D18" s="265">
        <f>1-C18</f>
        <v>0.4</v>
      </c>
      <c r="E18" s="3431" t="s">
        <v>2953</v>
      </c>
      <c r="F18" s="3432"/>
      <c r="G18" s="3432"/>
      <c r="H18" s="3432"/>
      <c r="I18" s="3432"/>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32645</v>
      </c>
      <c r="D19" s="269">
        <f ca="1">SUMIF(INDIRECT("'"&amp;D4&amp;"'"&amp;"!A:A"),结果表!B19,INDIRECT("'"&amp;D4&amp;"'"&amp;"!B:B"))</f>
        <v>22304</v>
      </c>
      <c r="E19" s="266" t="s">
        <v>323</v>
      </c>
      <c r="F19" s="267" t="s">
        <v>322</v>
      </c>
      <c r="G19" s="270">
        <f ca="1">ROUND(C19*$C$18+D19*$D$18,0)</f>
        <v>28509</v>
      </c>
      <c r="H19" s="271" t="s">
        <v>324</v>
      </c>
      <c r="I19" s="309"/>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985</v>
      </c>
      <c r="D20" s="275">
        <f ca="1">SUMIF(INDIRECT("'"&amp;D4&amp;"'"&amp;"!A:A"),结果表!B20,INDIRECT("'"&amp;D4&amp;"'"&amp;"!B:B"))</f>
        <v>673</v>
      </c>
      <c r="E20" s="272"/>
      <c r="F20" s="273" t="s">
        <v>325</v>
      </c>
      <c r="G20" s="276">
        <f ca="1">ROUND(C20*$C$18+D20*$D$18,0)</f>
        <v>860</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1834</v>
      </c>
      <c r="D21" s="149">
        <f ca="1">SUMIF(INDIRECT("'"&amp;D4&amp;"'"&amp;"!A:A"),结果表!B21,INDIRECT("'"&amp;D4&amp;"'"&amp;"!B:B"))</f>
        <v>1253</v>
      </c>
      <c r="E21" s="272"/>
      <c r="F21" s="278" t="s">
        <v>327</v>
      </c>
      <c r="G21" s="280">
        <f ca="1">ROUND(C21*$C$18+D21*$D$18,0)</f>
        <v>1602</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0.46363880918220945</v>
      </c>
      <c r="E22" s="282"/>
      <c r="F22" s="283"/>
      <c r="G22" s="284">
        <f ca="1">ROUND(G19/('数据-汇总表'!D3/666.67),0)</f>
        <v>107</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05"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406"/>
      <c r="B25" s="1273" t="s">
        <v>331</v>
      </c>
      <c r="C25" s="288">
        <f>IF(B30=0,0,C30)</f>
        <v>0</v>
      </c>
      <c r="D25" s="289"/>
      <c r="E25" s="309"/>
      <c r="F25" s="309"/>
      <c r="G25" s="309"/>
      <c r="H25" s="309"/>
      <c r="I25" s="309"/>
      <c r="J25" s="1909"/>
      <c r="K25" s="1207" t="str">
        <f ca="1">项目基本情况!B16&amp;"国有建设用地使用权价格："&amp;O38&amp;"万元"</f>
        <v>出让国有建设用地使用权价格：28509万元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大写金额：人民币贰亿捌仟伍佰零玖万元整</v>
      </c>
      <c r="L26" s="1204"/>
      <c r="M26" s="1204"/>
      <c r="N26" s="1204"/>
      <c r="O26" s="1203"/>
      <c r="P26" s="1909"/>
      <c r="Q26" s="1909"/>
      <c r="R26" s="1909"/>
      <c r="S26" s="1909"/>
      <c r="T26" s="1909"/>
      <c r="U26" s="1909"/>
      <c r="V26" s="1909"/>
      <c r="W26" s="290"/>
      <c r="X26" s="290"/>
      <c r="Y26" s="290"/>
      <c r="Z26" s="290"/>
    </row>
    <row r="27" spans="1:26" ht="18">
      <c r="A27" s="291"/>
      <c r="B27" s="292"/>
      <c r="C27" s="292"/>
      <c r="D27" s="293">
        <f ca="1">G19/'数据-汇总表'!F31*10000</f>
        <v>1356.3200618477001</v>
      </c>
      <c r="E27" s="309"/>
      <c r="F27" s="309"/>
      <c r="G27" s="309"/>
      <c r="H27" s="309"/>
      <c r="I27" s="309"/>
      <c r="J27" s="1909"/>
      <c r="K27" s="1210" t="str">
        <f ca="1">"单位面积地价："&amp;M38&amp;"元/平方米"</f>
        <v>单位面积地价：1601元/平方米</v>
      </c>
      <c r="L27" s="1204"/>
      <c r="M27" s="1204"/>
      <c r="N27" s="1204"/>
      <c r="O27" s="1203"/>
      <c r="P27" s="1909"/>
      <c r="Q27" s="1909"/>
      <c r="R27" s="1909"/>
      <c r="S27" s="1909"/>
      <c r="T27" s="1909"/>
      <c r="U27" s="1909"/>
      <c r="V27" s="1909"/>
    </row>
    <row r="28" spans="1:26" ht="18.75" customHeight="1">
      <c r="A28" s="291"/>
      <c r="B28" s="292"/>
      <c r="C28" s="292"/>
      <c r="D28" s="293">
        <f ca="1">G19/'剩余法-待开发'!C6</f>
        <v>0.15498654489113595</v>
      </c>
      <c r="E28" s="309"/>
      <c r="F28" s="309"/>
      <c r="G28" s="309"/>
      <c r="H28" s="309"/>
      <c r="I28" s="309"/>
      <c r="J28" s="1909"/>
      <c r="K28" s="1210" t="str">
        <f ca="1">"楼面地价："&amp;N38&amp;"元/平方米"</f>
        <v>楼面地价：860元/平方米</v>
      </c>
      <c r="L28" s="1204"/>
      <c r="M28" s="1204"/>
      <c r="N28" s="1204"/>
      <c r="O28" s="1203"/>
      <c r="P28" s="1909"/>
      <c r="V28" s="1909"/>
    </row>
    <row r="29" spans="1:26" ht="18">
      <c r="A29" s="291"/>
      <c r="B29" s="292"/>
      <c r="C29" s="292"/>
      <c r="D29" s="293"/>
      <c r="E29" s="309"/>
      <c r="F29" s="309"/>
      <c r="G29" s="309"/>
      <c r="H29" s="309"/>
      <c r="I29" s="309"/>
      <c r="J29" s="1909"/>
      <c r="K29" s="1210" t="str">
        <f ca="1">IF(OR(项目基本情况!E8="抵押价格",项目基本情况!E8="已注销及未注销"),"抵押价格："&amp;O39&amp;"万元","——")</f>
        <v>抵押价格：28509万元</v>
      </c>
      <c r="L29" s="1204"/>
      <c r="M29" s="1204"/>
      <c r="N29" s="1204"/>
      <c r="O29" s="1203"/>
      <c r="P29" s="1909"/>
      <c r="V29" s="1909"/>
    </row>
    <row r="30" spans="1:26" ht="18.75" thickBot="1">
      <c r="A30" s="2796" t="s">
        <v>336</v>
      </c>
      <c r="B30" s="307"/>
      <c r="C30" s="307"/>
      <c r="D30" s="308">
        <f ca="1">D27/Sheet1!M9</f>
        <v>1.1584360207783435</v>
      </c>
      <c r="E30" s="2999" t="s">
        <v>2954</v>
      </c>
      <c r="F30" s="309"/>
      <c r="G30" s="309"/>
      <c r="H30" s="309"/>
      <c r="I30" s="309"/>
      <c r="J30" s="1909"/>
      <c r="K30" s="1210" t="str">
        <f ca="1">IF(K29="——","——","大写金额：人民币"&amp;NUMBERSTRING(INT(O39*10000),2)&amp;"元整")</f>
        <v>大写金额：人民币贰亿捌仟伍佰零玖万元整</v>
      </c>
      <c r="L30" s="1204"/>
      <c r="M30" s="1204"/>
      <c r="N30" s="1204"/>
      <c r="O30" s="1203"/>
      <c r="P30" s="1909"/>
      <c r="V30" s="1909"/>
    </row>
    <row r="31" spans="1:26" ht="24" customHeight="1" thickBot="1">
      <c r="A31" s="3433" t="s">
        <v>2955</v>
      </c>
      <c r="B31" s="3433"/>
      <c r="C31" s="3433"/>
      <c r="D31" s="3433"/>
      <c r="E31" s="3433"/>
      <c r="F31" s="3433"/>
      <c r="G31" s="3433"/>
      <c r="H31" s="3433"/>
      <c r="I31" s="3433"/>
      <c r="J31" s="1909"/>
      <c r="K31" s="2320" t="str">
        <f>IF(项目基本情况!E8="抵押价格","——","抵押担保权已注销时的抵押价格："&amp;O40&amp;"万元")</f>
        <v>——</v>
      </c>
      <c r="L31" s="2316"/>
      <c r="M31" s="2316"/>
      <c r="N31" s="2316"/>
      <c r="O31" s="2317"/>
      <c r="P31" s="1909"/>
      <c r="V31" s="1909"/>
    </row>
    <row r="32" spans="1:26" ht="19.5" thickTop="1" thickBot="1">
      <c r="A32" s="272" t="s">
        <v>337</v>
      </c>
      <c r="B32" s="3000" t="s">
        <v>1679</v>
      </c>
      <c r="C32" s="264">
        <f ca="1">G19-C24</f>
        <v>28509</v>
      </c>
      <c r="D32" s="3001" t="s">
        <v>1680</v>
      </c>
      <c r="E32" s="309"/>
      <c r="F32" s="309"/>
      <c r="G32" s="309"/>
      <c r="H32" s="309"/>
      <c r="I32" s="309"/>
      <c r="J32" s="1909"/>
      <c r="K32" s="2315" t="str">
        <f>IF(K31="——","——","大写金额：人民币"&amp;NUMBERSTRING(INT(O40*10000),2)&amp;"元整")</f>
        <v>——</v>
      </c>
      <c r="L32" s="2318"/>
      <c r="M32" s="2318"/>
      <c r="N32" s="2318"/>
      <c r="O32" s="2319"/>
      <c r="P32" s="1909"/>
      <c r="V32" s="1909"/>
    </row>
    <row r="33" spans="1:26" ht="18.75" thickBot="1">
      <c r="A33" s="296" t="s">
        <v>340</v>
      </c>
      <c r="B33" s="1330" t="s">
        <v>1681</v>
      </c>
      <c r="C33" s="262">
        <f ca="1">ROUND(C32*10000/'数据-汇总表'!E3,0)</f>
        <v>860</v>
      </c>
      <c r="D33" s="1331" t="s">
        <v>1682</v>
      </c>
      <c r="E33" s="3405" t="s">
        <v>338</v>
      </c>
      <c r="F33" s="294" t="s">
        <v>339</v>
      </c>
      <c r="G33" s="295"/>
      <c r="H33" s="966"/>
      <c r="I33" s="1211"/>
      <c r="J33" s="1909"/>
      <c r="K33" s="1210" t="str">
        <f ca="1">IF(项目基本情况!E9="——","——","抵押净值："&amp;C46&amp;"万元")</f>
        <v>抵押净值：27002万元</v>
      </c>
      <c r="L33" s="1204"/>
      <c r="M33" s="1204"/>
      <c r="N33" s="1204"/>
      <c r="O33" s="1203"/>
      <c r="P33" s="1909"/>
      <c r="V33" s="1909"/>
    </row>
    <row r="34" spans="1:26" s="1206" customFormat="1" ht="18.75" thickBot="1">
      <c r="A34" s="298"/>
      <c r="B34" s="1332" t="s">
        <v>1683</v>
      </c>
      <c r="C34" s="262">
        <f ca="1">ROUND(C32*10000/'数据-汇总表'!D3,0)</f>
        <v>1601</v>
      </c>
      <c r="D34" s="1333" t="s">
        <v>1682</v>
      </c>
      <c r="E34" s="3449"/>
      <c r="F34" s="127" t="s">
        <v>341</v>
      </c>
      <c r="G34" s="297"/>
      <c r="H34" s="105"/>
      <c r="I34" s="309"/>
      <c r="J34" s="1909"/>
      <c r="K34" s="1213" t="str">
        <f ca="1">IF(K33="——","——","大写金额：人民币"&amp;NUMBERSTRING(INT(O41*10000),2)&amp;"元整")</f>
        <v>大写金额：人民币贰亿柒仟零贰万元整</v>
      </c>
      <c r="L34" s="1214"/>
      <c r="M34" s="1214"/>
      <c r="N34" s="1214"/>
      <c r="O34" s="1215"/>
      <c r="P34" s="1909"/>
      <c r="Q34" s="290"/>
      <c r="R34" s="290"/>
      <c r="S34" s="290"/>
      <c r="T34" s="290"/>
      <c r="U34" s="290"/>
      <c r="V34" s="1909"/>
      <c r="W34" s="290"/>
      <c r="X34" s="290"/>
      <c r="Y34" s="290"/>
      <c r="Z34" s="290"/>
    </row>
    <row r="35" spans="1:26" ht="15.75" thickBot="1">
      <c r="A35" s="282"/>
      <c r="B35" s="1334"/>
      <c r="C35" s="1335">
        <f ca="1">ROUND(C32/('数据-汇总表'!D3/666.67),0)</f>
        <v>107</v>
      </c>
      <c r="D35" s="1336" t="s">
        <v>1684</v>
      </c>
      <c r="E35" s="3450"/>
      <c r="F35" s="299" t="s">
        <v>342</v>
      </c>
      <c r="G35" s="968"/>
      <c r="H35" s="967" t="s">
        <v>343</v>
      </c>
      <c r="I35" s="309"/>
      <c r="J35" s="1909"/>
      <c r="K35" s="3423" t="s">
        <v>350</v>
      </c>
      <c r="L35" s="3423" t="s">
        <v>351</v>
      </c>
      <c r="M35" s="1216" t="s">
        <v>352</v>
      </c>
      <c r="N35" s="3423" t="s">
        <v>353</v>
      </c>
      <c r="O35" s="3423" t="s">
        <v>354</v>
      </c>
      <c r="P35" s="1909"/>
      <c r="V35" s="1909"/>
    </row>
    <row r="36" spans="1:26" ht="16.5" customHeight="1">
      <c r="A36" s="301" t="s">
        <v>344</v>
      </c>
      <c r="B36" s="302" t="s">
        <v>333</v>
      </c>
      <c r="C36" s="303" t="s">
        <v>345</v>
      </c>
      <c r="D36" s="303" t="s">
        <v>346</v>
      </c>
      <c r="E36" s="304" t="s">
        <v>347</v>
      </c>
      <c r="F36" s="309"/>
      <c r="G36" s="309"/>
      <c r="H36" s="309"/>
      <c r="I36" s="309"/>
      <c r="J36" s="1911"/>
      <c r="K36" s="3424"/>
      <c r="L36" s="3424"/>
      <c r="M36" s="1218" t="s">
        <v>355</v>
      </c>
      <c r="N36" s="3424"/>
      <c r="O36" s="3424"/>
      <c r="P36" s="1909"/>
      <c r="V36" s="1909"/>
    </row>
    <row r="37" spans="1:26" ht="16.5" customHeight="1" thickBot="1">
      <c r="A37" s="1212" t="s">
        <v>348</v>
      </c>
      <c r="B37" s="305"/>
      <c r="C37" s="292"/>
      <c r="D37" s="292"/>
      <c r="E37" s="293"/>
      <c r="F37" s="309"/>
      <c r="G37" s="309"/>
      <c r="H37" s="309"/>
      <c r="I37" s="309"/>
      <c r="J37" s="1911"/>
      <c r="K37" s="3425"/>
      <c r="L37" s="3425"/>
      <c r="M37" s="1219"/>
      <c r="N37" s="3425"/>
      <c r="O37" s="3425"/>
      <c r="P37" s="1909"/>
      <c r="V37" s="1909"/>
    </row>
    <row r="38" spans="1:26" ht="16.5" customHeight="1" thickBot="1">
      <c r="A38" s="1212" t="s">
        <v>349</v>
      </c>
      <c r="B38" s="305"/>
      <c r="C38" s="292"/>
      <c r="D38" s="292"/>
      <c r="E38" s="293"/>
      <c r="F38" s="309"/>
      <c r="G38" s="309"/>
      <c r="H38" s="309"/>
      <c r="I38" s="309"/>
      <c r="J38" s="1911"/>
      <c r="K38" s="1220">
        <f>'数据-汇总表'!D3</f>
        <v>178018.61</v>
      </c>
      <c r="L38" s="1221">
        <f>'数据-汇总表'!E3</f>
        <v>331534.86</v>
      </c>
      <c r="M38" s="1221">
        <f ca="1">C34</f>
        <v>1601</v>
      </c>
      <c r="N38" s="1221">
        <f ca="1">C33</f>
        <v>860</v>
      </c>
      <c r="O38" s="1222">
        <f ca="1">C32</f>
        <v>28509</v>
      </c>
      <c r="P38" s="1909"/>
      <c r="V38" s="1909"/>
    </row>
    <row r="39" spans="1:26" ht="16.5" customHeight="1" thickBot="1">
      <c r="A39" s="1217"/>
      <c r="B39" s="306"/>
      <c r="C39" s="307"/>
      <c r="D39" s="307"/>
      <c r="E39" s="308"/>
      <c r="F39" s="309"/>
      <c r="G39" s="309"/>
      <c r="H39" s="309"/>
      <c r="I39" s="309"/>
      <c r="J39" s="1911"/>
      <c r="K39" s="3463" t="str">
        <f>MID(A44,3,LEN(A44)-2)</f>
        <v>抵押价格</v>
      </c>
      <c r="L39" s="3464"/>
      <c r="M39" s="3464"/>
      <c r="N39" s="3465"/>
      <c r="O39" s="1338">
        <f ca="1">C44</f>
        <v>28509</v>
      </c>
      <c r="P39" s="1909"/>
      <c r="V39" s="1909"/>
    </row>
    <row r="40" spans="1:26" ht="19.5" thickBot="1">
      <c r="A40" s="104" t="s">
        <v>864</v>
      </c>
      <c r="B40" s="309"/>
      <c r="C40" s="309"/>
      <c r="D40" s="309"/>
      <c r="E40" s="309"/>
      <c r="F40" s="309"/>
      <c r="G40" s="309"/>
      <c r="H40" s="309"/>
      <c r="I40" s="309"/>
      <c r="J40" s="1911"/>
      <c r="K40" s="3463" t="str">
        <f t="shared" ref="K40:K41" si="0">MID(A45,3,LEN(A45)-2)</f>
        <v/>
      </c>
      <c r="L40" s="3464"/>
      <c r="M40" s="3464"/>
      <c r="N40" s="3465"/>
      <c r="O40" s="1338" t="str">
        <f>C45</f>
        <v>——</v>
      </c>
      <c r="P40" s="1909"/>
      <c r="V40" s="1909"/>
    </row>
    <row r="41" spans="1:26" ht="16.5" thickBot="1">
      <c r="A41" s="310" t="s">
        <v>356</v>
      </c>
      <c r="B41" s="311"/>
      <c r="C41" s="312" t="s">
        <v>357</v>
      </c>
      <c r="D41" s="313" t="s">
        <v>358</v>
      </c>
      <c r="E41" s="313" t="s">
        <v>359</v>
      </c>
      <c r="F41" s="314" t="s">
        <v>360</v>
      </c>
      <c r="G41" s="309"/>
      <c r="H41" s="309"/>
      <c r="I41" s="309"/>
      <c r="J41" s="1911"/>
      <c r="K41" s="3463" t="str">
        <f t="shared" si="0"/>
        <v>抵押净值</v>
      </c>
      <c r="L41" s="3464"/>
      <c r="M41" s="3464"/>
      <c r="N41" s="3465"/>
      <c r="O41" s="1338">
        <f ca="1">C46</f>
        <v>27002</v>
      </c>
      <c r="P41" s="1909"/>
      <c r="V41" s="1909"/>
    </row>
    <row r="42" spans="1:26" ht="29.25">
      <c r="A42" s="3407" t="s">
        <v>2056</v>
      </c>
      <c r="B42" s="3408"/>
      <c r="C42" s="262">
        <f ca="1">C32</f>
        <v>28509</v>
      </c>
      <c r="D42" s="315">
        <f ca="1">C33</f>
        <v>860</v>
      </c>
      <c r="E42" s="315">
        <f ca="1">C34</f>
        <v>1601</v>
      </c>
      <c r="F42" s="316">
        <f ca="1">C35</f>
        <v>107</v>
      </c>
      <c r="G42" s="309"/>
      <c r="H42" s="309"/>
      <c r="I42" s="317"/>
      <c r="J42" s="1911"/>
      <c r="K42" s="1223" t="s">
        <v>361</v>
      </c>
      <c r="L42" s="1928" t="s">
        <v>362</v>
      </c>
      <c r="M42" s="1224" t="s">
        <v>363</v>
      </c>
      <c r="N42" s="1929" t="s">
        <v>364</v>
      </c>
      <c r="O42" s="1930" t="s">
        <v>365</v>
      </c>
      <c r="P42" s="1909"/>
      <c r="V42" s="1909"/>
    </row>
    <row r="43" spans="1:26" ht="30">
      <c r="A43" s="3418" t="s">
        <v>2710</v>
      </c>
      <c r="B43" s="3419"/>
      <c r="C43" s="262">
        <f>IF(H33="正常操作",G33+G34+G35,G34+G35)</f>
        <v>0</v>
      </c>
      <c r="D43" s="315" t="s">
        <v>43</v>
      </c>
      <c r="E43" s="315" t="s">
        <v>44</v>
      </c>
      <c r="F43" s="316" t="s">
        <v>44</v>
      </c>
      <c r="G43" s="2581" t="s">
        <v>943</v>
      </c>
      <c r="H43" s="309"/>
      <c r="I43" s="317"/>
      <c r="J43" s="1911"/>
      <c r="K43" s="1225" t="str">
        <f>C4</f>
        <v>剩余法-待开发</v>
      </c>
      <c r="L43" s="1226">
        <f ca="1">IF(L42="估价结果/万元",C19,C20)</f>
        <v>32645</v>
      </c>
      <c r="M43" s="1227">
        <f>C18</f>
        <v>0.6</v>
      </c>
      <c r="N43" s="1228">
        <f ca="1">IF(N42="测算结果/万元",G19,G20)</f>
        <v>28509</v>
      </c>
      <c r="O43" s="1229">
        <f ca="1">IF(O42="最终结果/万元",C32,C33)</f>
        <v>28509</v>
      </c>
      <c r="P43" s="1909"/>
      <c r="V43" s="1909"/>
    </row>
    <row r="44" spans="1:26" ht="30.75" thickBot="1">
      <c r="A44" s="3407" t="str">
        <f>IF(OR(项目基本情况!E8="抵押价格",项目基本情况!E8="已注销及未注销"),"3.抵押价格","——")</f>
        <v>3.抵押价格</v>
      </c>
      <c r="B44" s="3408"/>
      <c r="C44" s="262">
        <f ca="1">IF(A44="——","——",C42-C43)</f>
        <v>28509</v>
      </c>
      <c r="D44" s="315">
        <f ca="1">ROUND(C44*10000/'数据-汇总表'!E3,0)</f>
        <v>860</v>
      </c>
      <c r="E44" s="315">
        <f ca="1">ROUND(C44*10000/'数据-汇总表'!D3,0)</f>
        <v>1601</v>
      </c>
      <c r="F44" s="316">
        <f ca="1">ROUND(C44/('数据-汇总表'!D3/666.67),0)</f>
        <v>107</v>
      </c>
      <c r="G44" s="309"/>
      <c r="H44" s="309"/>
      <c r="I44" s="317"/>
      <c r="J44" s="1911"/>
      <c r="K44" s="1230" t="str">
        <f>D4</f>
        <v>比较法-住宅、综合</v>
      </c>
      <c r="L44" s="1231">
        <f ca="1">IF(L42="估价结果/万元",D19,D20)</f>
        <v>22304</v>
      </c>
      <c r="M44" s="1232">
        <f>D18</f>
        <v>0.4</v>
      </c>
      <c r="N44" s="1233"/>
      <c r="O44" s="1234"/>
      <c r="P44" s="1909"/>
      <c r="V44" s="1909"/>
    </row>
    <row r="45" spans="1:26" ht="15">
      <c r="A45" s="3413" t="str">
        <f>IF(项目基本情况!E8="已注销及未注销","4.抵押担保权已注销时的抵押价格",IF(项目基本情况!E8="已注销","3.抵押担保权已注销时的抵押价格","——"))</f>
        <v>——</v>
      </c>
      <c r="B45" s="3414"/>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409" t="str">
        <f>IF(项目基本情况!E9="抵押净值",IF(A45="——","4.抵押净值","5.抵押净值"),"——")</f>
        <v>4.抵押净值</v>
      </c>
      <c r="B46" s="3410"/>
      <c r="C46" s="318">
        <f ca="1">IF(A46="——","——",O79)</f>
        <v>27002</v>
      </c>
      <c r="D46" s="315">
        <f ca="1">ROUND(C46*10000/'数据-汇总表'!E3,0)</f>
        <v>814</v>
      </c>
      <c r="E46" s="315">
        <f ca="1">ROUND(C46*10000/'数据-汇总表'!D3,0)</f>
        <v>1517</v>
      </c>
      <c r="F46" s="316">
        <f ca="1">ROUND(C46/('数据-汇总表'!D3/666.67),0)</f>
        <v>101</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57" t="s">
        <v>374</v>
      </c>
      <c r="B63" s="3458"/>
      <c r="C63" s="3459"/>
      <c r="D63" s="339">
        <f ca="1">ROUND(C42*F63,0)</f>
        <v>28509</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415" t="s">
        <v>378</v>
      </c>
      <c r="B64" s="3416"/>
      <c r="C64" s="3416"/>
      <c r="D64" s="3416"/>
      <c r="E64" s="3416"/>
      <c r="F64" s="3416"/>
      <c r="G64" s="3417"/>
      <c r="H64" s="1240"/>
      <c r="I64" s="935"/>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5.5">
      <c r="A66" s="3411" t="s">
        <v>386</v>
      </c>
      <c r="B66" s="3412"/>
      <c r="C66" s="3412"/>
      <c r="D66" s="259">
        <f ca="1">IF(H66="情况1",0,IF(H66="情况2",D70,IF(H66="情况3",D71,IF(H66="情况4",D72))))</f>
        <v>1493</v>
      </c>
      <c r="E66" s="979" t="str">
        <f>IF(H66="情况4","(销售额-原购置价)×税（费）率","销售额×税（费）率")</f>
        <v>销售额×税（费）率</v>
      </c>
      <c r="F66" s="348">
        <f>IF(H66="情况1","免征",'数据-取费表'!B41)</f>
        <v>5.5000000000000007E-2</v>
      </c>
      <c r="G66" s="349" t="s">
        <v>387</v>
      </c>
      <c r="H66" s="189" t="s">
        <v>3083</v>
      </c>
      <c r="I66" s="1240"/>
      <c r="J66" s="1915"/>
      <c r="K66" s="1243">
        <v>1</v>
      </c>
      <c r="L66" s="3472" t="s">
        <v>385</v>
      </c>
      <c r="M66" s="3473"/>
      <c r="N66" s="2310"/>
      <c r="O66" s="2311"/>
      <c r="P66" s="2312"/>
      <c r="Q66" s="1909"/>
      <c r="R66" s="1909"/>
      <c r="S66" s="1909"/>
      <c r="T66" s="1909"/>
      <c r="U66" s="1909"/>
      <c r="V66" s="1909"/>
    </row>
    <row r="67" spans="1:22" ht="25.5" customHeight="1">
      <c r="A67" s="350" t="s">
        <v>389</v>
      </c>
      <c r="B67" s="3402" t="s">
        <v>390</v>
      </c>
      <c r="C67" s="3402"/>
      <c r="D67" s="351">
        <v>0</v>
      </c>
      <c r="E67" s="41" t="s">
        <v>391</v>
      </c>
      <c r="F67" s="62" t="s">
        <v>21</v>
      </c>
      <c r="G67" s="3460"/>
      <c r="H67" s="3002" t="s">
        <v>2956</v>
      </c>
      <c r="I67" s="3004"/>
      <c r="J67" s="1916"/>
      <c r="K67" s="1888">
        <v>2</v>
      </c>
      <c r="L67" s="3466" t="s">
        <v>388</v>
      </c>
      <c r="M67" s="3466"/>
      <c r="N67" s="1277">
        <f>'数据-取费表'!B2</f>
        <v>44295</v>
      </c>
      <c r="O67" s="1277"/>
      <c r="P67" s="1277"/>
      <c r="Q67" s="1909"/>
      <c r="R67" s="1909"/>
      <c r="S67" s="1909"/>
      <c r="T67" s="1909"/>
      <c r="U67" s="1909"/>
      <c r="V67" s="1909"/>
    </row>
    <row r="68" spans="1:22" ht="25.5" customHeight="1">
      <c r="A68" s="352"/>
      <c r="B68" s="3402" t="s">
        <v>393</v>
      </c>
      <c r="C68" s="3402"/>
      <c r="D68" s="353"/>
      <c r="E68" s="77"/>
      <c r="F68" s="354"/>
      <c r="G68" s="3461"/>
      <c r="H68" s="3003" t="s">
        <v>2957</v>
      </c>
      <c r="I68" s="3004"/>
      <c r="J68" s="1916"/>
      <c r="K68" s="1888">
        <v>3</v>
      </c>
      <c r="L68" s="3466" t="s">
        <v>392</v>
      </c>
      <c r="M68" s="3466"/>
      <c r="N68" s="1245">
        <f ca="1">C42</f>
        <v>28509</v>
      </c>
      <c r="O68" s="1245"/>
      <c r="P68" s="1245"/>
      <c r="Q68" s="1909"/>
      <c r="R68" s="1909"/>
      <c r="S68" s="1909"/>
      <c r="T68" s="1909"/>
      <c r="U68" s="1909"/>
      <c r="V68" s="1909"/>
    </row>
    <row r="69" spans="1:22" ht="23.45" customHeight="1">
      <c r="A69" s="355"/>
      <c r="B69" s="3402" t="s">
        <v>394</v>
      </c>
      <c r="C69" s="3402"/>
      <c r="D69" s="356"/>
      <c r="E69" s="73"/>
      <c r="F69" s="354"/>
      <c r="G69" s="3462"/>
      <c r="H69" s="3003" t="s">
        <v>2958</v>
      </c>
      <c r="I69" s="3004"/>
      <c r="J69" s="1916"/>
      <c r="K69" s="1246">
        <v>4</v>
      </c>
      <c r="L69" s="3476" t="s">
        <v>2862</v>
      </c>
      <c r="M69" s="3477"/>
      <c r="N69" s="1247">
        <f ca="1">C44</f>
        <v>28509</v>
      </c>
      <c r="O69" s="1247"/>
      <c r="P69" s="1247"/>
      <c r="Q69" s="1909"/>
      <c r="R69" s="1909"/>
      <c r="S69" s="1909"/>
      <c r="T69" s="1909"/>
      <c r="U69" s="1909"/>
      <c r="V69" s="1909"/>
    </row>
    <row r="70" spans="1:22" ht="24" customHeight="1">
      <c r="A70" s="357" t="s">
        <v>395</v>
      </c>
      <c r="B70" s="3402" t="s">
        <v>396</v>
      </c>
      <c r="C70" s="3402"/>
      <c r="D70" s="356">
        <f ca="1">ROUND(D63*'数据-取费表'!B41/(1+'数据-取费表'!C42),0)</f>
        <v>1493</v>
      </c>
      <c r="E70" s="17" t="s">
        <v>397</v>
      </c>
      <c r="F70" s="358">
        <f>'数据-取费表'!B41</f>
        <v>5.5000000000000007E-2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03" t="s">
        <v>2987</v>
      </c>
      <c r="C71" s="3404"/>
      <c r="D71" s="356">
        <f ca="1">ROUND(D63*'数据-取费表'!B41/(1+'数据-取费表'!C42),0)</f>
        <v>1493</v>
      </c>
      <c r="E71" s="17" t="s">
        <v>397</v>
      </c>
      <c r="F71" s="358">
        <f>'数据-取费表'!B41</f>
        <v>5.5000000000000007E-2</v>
      </c>
      <c r="G71" s="359"/>
      <c r="H71" s="309"/>
      <c r="I71" s="1244"/>
      <c r="J71" s="1916"/>
      <c r="K71" s="2760" t="s">
        <v>398</v>
      </c>
      <c r="L71" s="3478" t="s">
        <v>399</v>
      </c>
      <c r="M71" s="3478"/>
      <c r="N71" s="2760" t="s">
        <v>400</v>
      </c>
      <c r="O71" s="2760" t="s">
        <v>401</v>
      </c>
      <c r="P71" s="2760" t="s">
        <v>402</v>
      </c>
      <c r="Q71" s="1909"/>
      <c r="R71" s="1909"/>
      <c r="S71" s="1909"/>
      <c r="T71" s="1909"/>
      <c r="U71" s="1909"/>
      <c r="V71" s="1909"/>
    </row>
    <row r="72" spans="1:22" ht="12" customHeight="1">
      <c r="A72" s="357" t="s">
        <v>405</v>
      </c>
      <c r="B72" s="3403" t="s">
        <v>2988</v>
      </c>
      <c r="C72" s="3404"/>
      <c r="D72" s="356">
        <f ca="1">C86</f>
        <v>1493</v>
      </c>
      <c r="E72" s="73" t="s">
        <v>406</v>
      </c>
      <c r="F72" s="358">
        <f>'数据-取费表'!B41</f>
        <v>5.5000000000000007E-2</v>
      </c>
      <c r="G72" s="359"/>
      <c r="H72" s="1250"/>
      <c r="I72" s="1244"/>
      <c r="J72" s="1916"/>
      <c r="K72" s="1888">
        <v>1</v>
      </c>
      <c r="L72" s="3453" t="s">
        <v>404</v>
      </c>
      <c r="M72" s="3453"/>
      <c r="N72" s="1248">
        <f ca="1">D66</f>
        <v>1493</v>
      </c>
      <c r="O72" s="1771" t="str">
        <f>E66</f>
        <v>销售额×税（费）率</v>
      </c>
      <c r="P72" s="1249">
        <f>F66</f>
        <v>5.5000000000000007E-2</v>
      </c>
      <c r="Q72" s="1909"/>
      <c r="R72" s="1909"/>
      <c r="S72" s="1909"/>
      <c r="T72" s="1909"/>
      <c r="U72" s="1909"/>
      <c r="V72" s="1909"/>
    </row>
    <row r="73" spans="1:22" ht="24" customHeight="1">
      <c r="A73" s="3448" t="s">
        <v>408</v>
      </c>
      <c r="B73" s="3412"/>
      <c r="C73" s="3412"/>
      <c r="D73" s="360">
        <f ca="1">IF(H73="个人住宅",0,ROUND(D63*I73,0))</f>
        <v>14</v>
      </c>
      <c r="E73" s="17" t="s">
        <v>409</v>
      </c>
      <c r="F73" s="358">
        <f>IF(H73="正常",I73,"免征")</f>
        <v>5.0000000000000001E-4</v>
      </c>
      <c r="G73" s="359"/>
      <c r="H73" s="189" t="s">
        <v>3071</v>
      </c>
      <c r="I73" s="358">
        <f>'数据-取费表'!B49</f>
        <v>5.0000000000000001E-4</v>
      </c>
      <c r="J73" s="1916"/>
      <c r="K73" s="1888">
        <v>2</v>
      </c>
      <c r="L73" s="3453" t="s">
        <v>407</v>
      </c>
      <c r="M73" s="3453"/>
      <c r="N73" s="1248">
        <f t="shared" ref="N73:P74" ca="1" si="1">D73</f>
        <v>14</v>
      </c>
      <c r="O73" s="1771" t="str">
        <f t="shared" si="1"/>
        <v>销售额×税（费）率</v>
      </c>
      <c r="P73" s="1249">
        <f t="shared" si="1"/>
        <v>5.0000000000000001E-4</v>
      </c>
      <c r="Q73" s="1909"/>
      <c r="R73" s="1909"/>
      <c r="S73" s="1909"/>
      <c r="T73" s="1909"/>
      <c r="U73" s="1909"/>
      <c r="V73" s="1909"/>
    </row>
    <row r="74" spans="1:22" ht="24.75">
      <c r="A74" s="3448" t="s">
        <v>411</v>
      </c>
      <c r="B74" s="3412"/>
      <c r="C74" s="3412"/>
      <c r="D74" s="360">
        <f ca="1">IF(H74="个人住宅",D75,D76)</f>
        <v>0</v>
      </c>
      <c r="E74" s="17" t="s">
        <v>412</v>
      </c>
      <c r="F74" s="358" t="str">
        <f>IF(H74="正常",F76,"免征")</f>
        <v>——</v>
      </c>
      <c r="G74" s="969" t="s">
        <v>413</v>
      </c>
      <c r="H74" s="361" t="s">
        <v>3071</v>
      </c>
      <c r="I74" s="42"/>
      <c r="J74" s="1916"/>
      <c r="K74" s="1888">
        <v>3</v>
      </c>
      <c r="L74" s="3453" t="s">
        <v>410</v>
      </c>
      <c r="M74" s="3453"/>
      <c r="N74" s="1248">
        <f t="shared" ca="1" si="1"/>
        <v>0</v>
      </c>
      <c r="O74" s="1771" t="str">
        <f t="shared" si="1"/>
        <v>增值额×税（费）率</v>
      </c>
      <c r="P74" s="1251" t="str">
        <f t="shared" si="1"/>
        <v>——</v>
      </c>
      <c r="Q74" s="1909"/>
      <c r="R74" s="1909"/>
      <c r="S74" s="1909"/>
      <c r="T74" s="1909"/>
      <c r="U74" s="1909"/>
      <c r="V74" s="1909"/>
    </row>
    <row r="75" spans="1:22" ht="12.75">
      <c r="A75" s="357" t="s">
        <v>414</v>
      </c>
      <c r="B75" s="3400" t="s">
        <v>415</v>
      </c>
      <c r="C75" s="3436"/>
      <c r="D75" s="362">
        <v>0</v>
      </c>
      <c r="E75" s="41" t="s">
        <v>416</v>
      </c>
      <c r="F75" s="363"/>
      <c r="G75" s="359"/>
      <c r="H75" s="42"/>
      <c r="I75" s="42"/>
      <c r="J75" s="1916"/>
      <c r="K75" s="2754" t="str">
        <f>IF(H77="非个人房产","",4)</f>
        <v/>
      </c>
      <c r="L75" s="3453" t="str">
        <f>IF(H77="非个人房产","——","个人所得税")</f>
        <v>——</v>
      </c>
      <c r="M75" s="3453"/>
      <c r="N75" s="1252" t="str">
        <f>D77</f>
        <v>——</v>
      </c>
      <c r="O75" s="1784" t="str">
        <f>E77</f>
        <v>——</v>
      </c>
      <c r="P75" s="1253" t="str">
        <f>F77</f>
        <v>——</v>
      </c>
      <c r="Q75" s="1909"/>
      <c r="R75" s="1909"/>
      <c r="S75" s="1909"/>
      <c r="T75" s="1909"/>
      <c r="U75" s="1909"/>
      <c r="V75" s="1909"/>
    </row>
    <row r="76" spans="1:22" ht="24.75">
      <c r="A76" s="357" t="s">
        <v>395</v>
      </c>
      <c r="B76" s="3400" t="s">
        <v>418</v>
      </c>
      <c r="C76" s="3401"/>
      <c r="D76" s="360">
        <f ca="1">IF(H76="转让取得",C99,C115)</f>
        <v>0</v>
      </c>
      <c r="E76" s="17" t="s">
        <v>419</v>
      </c>
      <c r="F76" s="53" t="s">
        <v>21</v>
      </c>
      <c r="G76" s="359"/>
      <c r="H76" s="361" t="s">
        <v>3084</v>
      </c>
      <c r="I76" s="42"/>
      <c r="J76" s="1916"/>
      <c r="K76" s="2754" t="str">
        <f>IF(项目基本情况!K6="上海银行",IF(K75="",4,K75+1),"")</f>
        <v/>
      </c>
      <c r="L76" s="3468" t="str">
        <f>IF(项目基本情况!K6="上海银行","其他处置费用","")</f>
        <v/>
      </c>
      <c r="M76" s="3469"/>
      <c r="N76" s="1248" t="str">
        <f>IF(项目基本情况!K6="上海银行",N89,"")</f>
        <v/>
      </c>
      <c r="O76" s="3470" t="str">
        <f>IF(项目基本情况!K6="上海银行","包含处置中涉及的律师、诉讼、拍卖、评估等费用","")</f>
        <v/>
      </c>
      <c r="P76" s="3471"/>
      <c r="Q76" s="1909"/>
      <c r="R76" s="1909"/>
      <c r="S76" s="1909"/>
      <c r="T76" s="1909"/>
      <c r="U76" s="1909"/>
      <c r="V76" s="1909"/>
    </row>
    <row r="77" spans="1:22" ht="24.75" thickBot="1">
      <c r="A77" s="3455" t="s">
        <v>421</v>
      </c>
      <c r="B77" s="3456"/>
      <c r="C77" s="3456"/>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3085</v>
      </c>
      <c r="I77" s="3005" t="s">
        <v>2959</v>
      </c>
      <c r="J77" s="1916"/>
      <c r="K77" s="3454">
        <f>IF(AND(K75="",K76=""),4,IF(项目基本情况!K6="上海银行",K76+1,K75+1))</f>
        <v>4</v>
      </c>
      <c r="L77" s="3453" t="s">
        <v>2863</v>
      </c>
      <c r="M77" s="2759" t="s">
        <v>417</v>
      </c>
      <c r="N77" s="1254"/>
      <c r="O77" s="1255">
        <f ca="1">SUMIF(N72:N76,"&lt;9e307")</f>
        <v>1507</v>
      </c>
      <c r="P77" s="1256"/>
      <c r="Q77" s="2757">
        <f ca="1">O77/N69</f>
        <v>5.2860500192921531E-2</v>
      </c>
      <c r="R77" s="1909"/>
      <c r="S77" s="1909"/>
      <c r="T77" s="1909"/>
      <c r="U77" s="1909"/>
      <c r="V77" s="1909"/>
    </row>
    <row r="78" spans="1:22" ht="12" customHeight="1">
      <c r="A78" s="1257"/>
      <c r="B78" s="309"/>
      <c r="C78" s="309"/>
      <c r="D78" s="309"/>
      <c r="E78" s="42"/>
      <c r="F78" s="42"/>
      <c r="G78" s="42"/>
      <c r="H78" s="989"/>
      <c r="I78" s="309"/>
      <c r="J78" s="1916"/>
      <c r="K78" s="3454"/>
      <c r="L78" s="3453"/>
      <c r="M78" s="2759" t="s">
        <v>420</v>
      </c>
      <c r="N78" s="1254"/>
      <c r="O78" s="1255" t="str">
        <f ca="1">NUMBERSTRING(INT(O77*10000),2)&amp;"元整"</f>
        <v>壹仟伍佰零柒万元整</v>
      </c>
      <c r="P78" s="1256"/>
      <c r="Q78" s="1909"/>
      <c r="R78" s="1909"/>
      <c r="S78" s="1909"/>
      <c r="T78" s="1909"/>
      <c r="U78" s="1909"/>
      <c r="V78" s="1909"/>
    </row>
    <row r="79" spans="1:22" ht="13.5" thickBot="1">
      <c r="A79" s="3420" t="s">
        <v>422</v>
      </c>
      <c r="B79" s="3420"/>
      <c r="C79" s="3420"/>
      <c r="D79" s="3420"/>
      <c r="E79" s="3420"/>
      <c r="F79" s="42"/>
      <c r="G79" s="42"/>
      <c r="H79" s="989"/>
      <c r="I79" s="309"/>
      <c r="J79" s="1916"/>
      <c r="K79" s="3474">
        <f>K77+1</f>
        <v>5</v>
      </c>
      <c r="L79" s="3453" t="s">
        <v>2864</v>
      </c>
      <c r="M79" s="2759" t="s">
        <v>417</v>
      </c>
      <c r="N79" s="1254"/>
      <c r="O79" s="1255">
        <f ca="1">N69-O77</f>
        <v>27002</v>
      </c>
      <c r="P79" s="1256"/>
      <c r="Q79" s="1909"/>
      <c r="R79" s="1909"/>
      <c r="S79" s="1909"/>
      <c r="T79" s="1909"/>
      <c r="U79" s="1909"/>
      <c r="V79" s="1909"/>
    </row>
    <row r="80" spans="1:22" ht="25.5">
      <c r="A80" s="3421" t="s">
        <v>423</v>
      </c>
      <c r="B80" s="3422"/>
      <c r="C80" s="980"/>
      <c r="D80" s="980" t="s">
        <v>424</v>
      </c>
      <c r="E80" s="364" t="s">
        <v>425</v>
      </c>
      <c r="F80" s="42"/>
      <c r="G80" s="42"/>
      <c r="H80" s="989"/>
      <c r="I80" s="309"/>
      <c r="J80" s="1909"/>
      <c r="K80" s="3475"/>
      <c r="L80" s="3453"/>
      <c r="M80" s="2759" t="s">
        <v>420</v>
      </c>
      <c r="N80" s="1254"/>
      <c r="O80" s="1255" t="str">
        <f ca="1">NUMBERSTRING(INT(O79*10000),2)&amp;"元整"</f>
        <v>贰亿柒仟零贰万元整</v>
      </c>
      <c r="P80" s="1256"/>
      <c r="Q80" s="1909"/>
      <c r="R80" s="1909"/>
      <c r="S80" s="1909"/>
      <c r="T80" s="1909"/>
      <c r="U80" s="1909"/>
      <c r="V80" s="1909"/>
    </row>
    <row r="81" spans="1:26" ht="13.5" thickBot="1">
      <c r="A81" s="375" t="s">
        <v>1814</v>
      </c>
      <c r="B81" s="365" t="s">
        <v>426</v>
      </c>
      <c r="C81" s="366">
        <f ca="1">ROUND((C82+C83)/(1+'数据-取费表'!C42),0)</f>
        <v>27151</v>
      </c>
      <c r="D81" s="367"/>
      <c r="E81" s="368"/>
      <c r="F81" s="42"/>
      <c r="G81" s="42"/>
      <c r="H81" s="989"/>
      <c r="I81" s="309"/>
      <c r="J81" s="1909"/>
      <c r="K81" s="2754">
        <f>K79+1</f>
        <v>6</v>
      </c>
      <c r="L81" s="3451" t="s">
        <v>2865</v>
      </c>
      <c r="M81" s="3452"/>
      <c r="N81" s="1258"/>
      <c r="O81" s="1259">
        <f ca="1">ROUND(O79*10000/'数据-汇总表'!E3,0)</f>
        <v>814</v>
      </c>
      <c r="P81" s="1260"/>
      <c r="Q81" s="1909"/>
      <c r="R81" s="1909"/>
      <c r="S81" s="1909"/>
      <c r="T81" s="1909"/>
      <c r="U81" s="1909"/>
      <c r="V81" s="1909"/>
    </row>
    <row r="82" spans="1:26" ht="13.5" thickTop="1">
      <c r="A82" s="369" t="s">
        <v>1815</v>
      </c>
      <c r="B82" s="370" t="s">
        <v>427</v>
      </c>
      <c r="C82" s="371">
        <f ca="1">D63</f>
        <v>28509</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1816</v>
      </c>
      <c r="B83" s="370" t="s">
        <v>428</v>
      </c>
      <c r="C83" s="374"/>
      <c r="D83" s="372"/>
      <c r="E83" s="373"/>
      <c r="F83" s="42"/>
      <c r="G83" s="42"/>
      <c r="H83" s="989"/>
      <c r="I83" s="309"/>
      <c r="J83" s="1909"/>
      <c r="K83" s="3467" t="s">
        <v>2853</v>
      </c>
      <c r="L83" s="2765" t="s">
        <v>2854</v>
      </c>
      <c r="M83" s="2755">
        <f ca="1">IF(N69&gt;10000,N69*0.5%,IF(AND(N69&gt;1000,N69&lt;=10000),N69*1%,IF(AND(N69&gt;100,N69&lt;=1000),N69*3%,IF(AND(N69&gt;10,N69&lt;=100),N69*5%,N69*8%))))</f>
        <v>142.54500000000002</v>
      </c>
      <c r="N83" s="53">
        <f ca="1">ROUND(M83,1)</f>
        <v>142.5</v>
      </c>
      <c r="O83" s="2758"/>
      <c r="P83" s="1909"/>
      <c r="Q83" s="1909"/>
      <c r="R83" s="1909"/>
      <c r="S83" s="1909"/>
      <c r="T83" s="1909"/>
      <c r="U83" s="1909"/>
      <c r="V83" s="1909"/>
    </row>
    <row r="84" spans="1:26" ht="12.75">
      <c r="A84" s="375" t="s">
        <v>1817</v>
      </c>
      <c r="B84" s="376" t="s">
        <v>429</v>
      </c>
      <c r="C84" s="377"/>
      <c r="D84" s="378" t="s">
        <v>19</v>
      </c>
      <c r="E84" s="2783" t="s">
        <v>2897</v>
      </c>
      <c r="F84" s="42"/>
      <c r="G84" s="42"/>
      <c r="H84" s="989"/>
      <c r="I84" s="309"/>
      <c r="J84" s="1909"/>
      <c r="K84" s="3467"/>
      <c r="L84" s="2765" t="s">
        <v>2855</v>
      </c>
      <c r="M84" s="2755">
        <f ca="1">IF(N69&gt;2000,N69*0.5%,IF(AND(N69&gt;1000,N69&lt;=2000),N69*0.6%,IF(AND(N69&gt;500,N69&lt;=1000),N69*0.7%,IF(AND(N69&gt;200,N69&lt;=500),N69*0.8%,IF(AND(N69&gt;100,N69&lt;=200),N69*0.9%,IF(AND(N69&gt;50,N69&lt;=100),N69*1%,IF(AND(N69&gt;20,N69&lt;=50),N69*1.5%,IF(AND(N69&gt;10,N69&lt;=20),N69*2%,IF(AND(N69&gt;1,N69&lt;=10),N69*2.5%)))))))))</f>
        <v>142.54500000000002</v>
      </c>
      <c r="N84" s="53">
        <f t="shared" ref="N84:N85" ca="1" si="2">ROUND(M84,1)</f>
        <v>142.5</v>
      </c>
      <c r="O84" s="1909" t="s">
        <v>2856</v>
      </c>
      <c r="P84" s="1909"/>
      <c r="Q84" s="1909"/>
      <c r="R84" s="1909"/>
      <c r="S84" s="1909"/>
      <c r="T84" s="1909"/>
      <c r="U84" s="1909"/>
      <c r="V84" s="1909"/>
    </row>
    <row r="85" spans="1:26" ht="12.75">
      <c r="A85" s="375" t="s">
        <v>1818</v>
      </c>
      <c r="B85" s="376" t="s">
        <v>430</v>
      </c>
      <c r="C85" s="379">
        <f ca="1">C81-C84</f>
        <v>27151</v>
      </c>
      <c r="D85" s="372" t="s">
        <v>19</v>
      </c>
      <c r="E85" s="373"/>
      <c r="F85" s="42"/>
      <c r="G85" s="42"/>
      <c r="H85" s="989"/>
      <c r="I85" s="309"/>
      <c r="J85" s="1909"/>
      <c r="K85" s="3467"/>
      <c r="L85" s="2765" t="s">
        <v>2857</v>
      </c>
      <c r="M85" s="2755">
        <f ca="1">IF(N69&gt;1000,N69*0.1%,IF(AND(N69&gt;500,N69&lt;=1000),N69*0.5%,IF(AND(N69&gt;50,N69&lt;=500),N69*1%,IF(AND(N69&gt;1,N69&lt;=50),N69*1.5%))))</f>
        <v>28.509</v>
      </c>
      <c r="N85" s="53">
        <f t="shared" ca="1" si="2"/>
        <v>28.5</v>
      </c>
      <c r="O85" s="1909" t="s">
        <v>2856</v>
      </c>
      <c r="P85" s="1909"/>
      <c r="Q85" s="1909"/>
      <c r="R85" s="1909"/>
      <c r="S85" s="1909"/>
      <c r="T85" s="1909"/>
      <c r="U85" s="1909"/>
      <c r="V85" s="1909"/>
    </row>
    <row r="86" spans="1:26" ht="13.5" thickBot="1">
      <c r="A86" s="380" t="s">
        <v>1819</v>
      </c>
      <c r="B86" s="381" t="s">
        <v>431</v>
      </c>
      <c r="C86" s="382">
        <f ca="1">IF(C85&lt;=0,0,ROUND(C85*D86,0))</f>
        <v>1493</v>
      </c>
      <c r="D86" s="383">
        <f>'数据-取费表'!B41</f>
        <v>5.5000000000000007E-2</v>
      </c>
      <c r="E86" s="384"/>
      <c r="F86" s="42"/>
      <c r="G86" s="42"/>
      <c r="H86" s="989"/>
      <c r="I86" s="309"/>
      <c r="J86" s="1909"/>
      <c r="K86" s="3467"/>
      <c r="L86" s="2765" t="s">
        <v>2858</v>
      </c>
      <c r="M86" s="2755">
        <f ca="1">N69*0.5%</f>
        <v>142.54500000000002</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67"/>
      <c r="L87" s="2765" t="s">
        <v>2860</v>
      </c>
      <c r="M87" s="2755">
        <f ca="1">IF(N69&gt;=10000,(8.25+(N69-10000)*0.01%),IF(AND(N69&gt;=8000,N69&lt;10000),(7.85+(N69-8000)*0.02%),IF(AND(N69&gt;=5000,N69&lt;8000),(6.65+(N69-5000)*0.04%),IF(AND(N69&gt;=2000,N69&lt;5000),(4.25+(PN69-2000)*0.08%),IF(AND(N69&gt;=1000,N69&lt;2000),(2.75+(N69-1000)*0.15%),IF(AND(N69&gt;=100,N69&lt;1000),(0.5+(N69-100)*0.25%),IF(AND(N69&gt;0,N69&lt;100),N69*0.5%)))))))</f>
        <v>10.100899999999999</v>
      </c>
      <c r="N87" s="53">
        <f ca="1">ROUND(M87*0.9,1)</f>
        <v>9.1</v>
      </c>
      <c r="O87" s="2758"/>
      <c r="P87" s="1909"/>
      <c r="Q87" s="1909"/>
      <c r="R87" s="1909"/>
      <c r="S87" s="1909"/>
      <c r="T87" s="1909"/>
      <c r="U87" s="1909"/>
      <c r="V87" s="1909"/>
      <c r="W87" s="290"/>
      <c r="X87" s="290"/>
      <c r="Y87" s="290"/>
      <c r="Z87" s="290"/>
    </row>
    <row r="88" spans="1:26" s="1266" customFormat="1" ht="15" thickBot="1">
      <c r="A88" s="3446" t="s">
        <v>432</v>
      </c>
      <c r="B88" s="3447"/>
      <c r="C88" s="3447"/>
      <c r="D88" s="3447"/>
      <c r="E88" s="3447"/>
      <c r="F88" s="3447"/>
      <c r="G88" s="3447"/>
      <c r="H88" s="3447"/>
      <c r="I88" s="1267"/>
      <c r="J88" s="1917"/>
      <c r="K88" s="3467"/>
      <c r="L88" s="2765" t="s">
        <v>2861</v>
      </c>
      <c r="M88" s="2755">
        <f ca="1">IF(N69&gt;10000,N69*0.5%,IF(AND(N69&gt;5000,N69&lt;=10000),N69*1%,IF(AND(N69&gt;1000,N69&lt;=5000),N69*2%,IF(AND(N69&gt;200,N69&lt;=1000),N69*3%,N69*5%))))</f>
        <v>142.54500000000002</v>
      </c>
      <c r="N88" s="53">
        <f ca="1">ROUND(M88,1)</f>
        <v>142.5</v>
      </c>
      <c r="O88" s="2758"/>
      <c r="P88" s="1914"/>
      <c r="Q88" s="1914"/>
      <c r="R88" s="1914"/>
      <c r="S88" s="1914"/>
      <c r="T88" s="1914"/>
      <c r="U88" s="1914"/>
      <c r="V88" s="1914"/>
      <c r="W88" s="1918"/>
      <c r="X88" s="1918"/>
      <c r="Y88" s="1918"/>
      <c r="Z88" s="1918"/>
    </row>
    <row r="89" spans="1:26" s="1266" customFormat="1" ht="14.25">
      <c r="A89" s="3421" t="s">
        <v>423</v>
      </c>
      <c r="B89" s="3422"/>
      <c r="C89" s="980"/>
      <c r="D89" s="980" t="s">
        <v>424</v>
      </c>
      <c r="E89" s="385" t="s">
        <v>433</v>
      </c>
      <c r="F89" s="386"/>
      <c r="G89" s="386"/>
      <c r="H89" s="387"/>
      <c r="I89" s="1268"/>
      <c r="J89" s="1919"/>
      <c r="K89" s="3467"/>
      <c r="L89" s="2765" t="s">
        <v>27</v>
      </c>
      <c r="M89" s="2756"/>
      <c r="N89" s="53">
        <f ca="1">ROUND(SUM(N83:N88),0)</f>
        <v>466</v>
      </c>
      <c r="O89" s="2766">
        <f ca="1">N89/N69</f>
        <v>1.6345715388123048E-2</v>
      </c>
      <c r="P89" s="1914"/>
      <c r="Q89" s="1914"/>
      <c r="R89" s="1914"/>
      <c r="S89" s="1914"/>
      <c r="T89" s="1914"/>
      <c r="U89" s="1914"/>
      <c r="V89" s="1914"/>
      <c r="W89" s="1918"/>
      <c r="X89" s="1918"/>
      <c r="Y89" s="1918"/>
      <c r="Z89" s="1918"/>
    </row>
    <row r="90" spans="1:26" s="1266" customFormat="1" ht="14.25">
      <c r="A90" s="375" t="s">
        <v>1814</v>
      </c>
      <c r="B90" s="376" t="s">
        <v>434</v>
      </c>
      <c r="C90" s="379">
        <f ca="1">ROUND(D63/(1+'数据-取费表'!C42),0)</f>
        <v>27151</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1820</v>
      </c>
      <c r="B91" s="346" t="s">
        <v>435</v>
      </c>
      <c r="C91" s="379">
        <f ca="1">C92+C96</f>
        <v>136</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03" t="s">
        <v>441</v>
      </c>
      <c r="F94" s="3402"/>
      <c r="G94" s="3402"/>
      <c r="H94" s="344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136</v>
      </c>
      <c r="D96" s="400">
        <f>'数据-取费表'!B43</f>
        <v>5.000000000000001E-3</v>
      </c>
      <c r="E96" s="3437" t="s">
        <v>2413</v>
      </c>
      <c r="F96" s="3438"/>
      <c r="G96" s="3438"/>
      <c r="H96" s="3439"/>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6" t="s">
        <v>445</v>
      </c>
      <c r="C97" s="379">
        <f ca="1">C90-C91</f>
        <v>27015</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6" t="s">
        <v>446</v>
      </c>
      <c r="C98" s="401">
        <f ca="1">IF(C97&lt;=0,0,C97/C91)</f>
        <v>198.63970588235293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1" t="s">
        <v>447</v>
      </c>
      <c r="C99" s="402">
        <f ca="1">ROUND(IF(C97&lt;=0,0,IF(C98&gt;=200%,C97*60%-C91*35%,IF(C98&gt;=100%,C97*50%-C91*15%,IF(C98&gt;=50%,C97*40%-C91*5%,IF(C98&lt;50%,C97*30%,0))))),0)</f>
        <v>16161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46" t="s">
        <v>448</v>
      </c>
      <c r="B101" s="3447"/>
      <c r="C101" s="3447"/>
      <c r="D101" s="3447"/>
      <c r="E101" s="3447"/>
      <c r="F101" s="3447"/>
      <c r="G101" s="3447"/>
      <c r="H101" s="344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21" t="s">
        <v>423</v>
      </c>
      <c r="B102" s="3422"/>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1814</v>
      </c>
      <c r="B103" s="376" t="s">
        <v>434</v>
      </c>
      <c r="C103" s="379">
        <f ca="1">ROUND(D63/(1+'数据-取费表'!C42),0)</f>
        <v>27151</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1820</v>
      </c>
      <c r="B104" s="346" t="s">
        <v>435</v>
      </c>
      <c r="C104" s="379">
        <f ca="1">IF(H106="仅含出让金",C105+C108+C109+C110+C111+C112,C105+C109+C110+C111+C112)</f>
        <v>28489</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1821</v>
      </c>
      <c r="B105" s="370" t="s">
        <v>449</v>
      </c>
      <c r="C105" s="399">
        <f>C106+C107</f>
        <v>25775</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1822</v>
      </c>
      <c r="B106" s="370" t="s">
        <v>450</v>
      </c>
      <c r="C106" s="410">
        <f>ROUND(1405*'数据-汇总表'!D3/10000,0)</f>
        <v>25012</v>
      </c>
      <c r="D106" s="400"/>
      <c r="E106" s="411" t="s">
        <v>451</v>
      </c>
      <c r="F106" s="972"/>
      <c r="G106" s="412" t="s">
        <v>452</v>
      </c>
      <c r="H106" s="413" t="s">
        <v>3086</v>
      </c>
      <c r="I106" s="11"/>
      <c r="J106" s="1914"/>
      <c r="K106" s="3240" t="s">
        <v>2980</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1823</v>
      </c>
      <c r="B107" s="370" t="s">
        <v>442</v>
      </c>
      <c r="C107" s="399">
        <f>ROUND(C106*D107,0)</f>
        <v>763</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1825</v>
      </c>
      <c r="B108" s="370" t="s">
        <v>454</v>
      </c>
      <c r="C108" s="410"/>
      <c r="D108" s="400"/>
      <c r="E108" s="411" t="str">
        <f>IF(H106="-","土地取得成本中已包含该笔费用"," ")</f>
        <v xml:space="preserve"> </v>
      </c>
      <c r="F108" s="972"/>
      <c r="G108" s="3397" t="s">
        <v>2951</v>
      </c>
      <c r="H108" s="3398"/>
      <c r="I108" s="2855"/>
      <c r="J108" s="1914"/>
      <c r="K108" s="3240" t="s">
        <v>2981</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70" t="s">
        <v>455</v>
      </c>
      <c r="C109" s="399">
        <f>IF(H109="——",IF(F1="现房",'剩余法-现房'!C18,0),I109)</f>
        <v>0</v>
      </c>
      <c r="D109" s="400"/>
      <c r="E109" s="3440" t="s">
        <v>456</v>
      </c>
      <c r="F109" s="3438"/>
      <c r="G109" s="3438"/>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70" t="s">
        <v>457</v>
      </c>
      <c r="C110" s="399">
        <f>ROUND((C105+C108+C109)*D110,0)</f>
        <v>2578</v>
      </c>
      <c r="D110" s="3271">
        <v>0.1</v>
      </c>
      <c r="E110" s="3440" t="s">
        <v>458</v>
      </c>
      <c r="F110" s="3438"/>
      <c r="G110" s="3438"/>
      <c r="H110" s="3439"/>
      <c r="I110" s="11"/>
      <c r="J110" s="1914"/>
      <c r="K110" s="3241" t="s">
        <v>2982</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70" t="s">
        <v>444</v>
      </c>
      <c r="C111" s="399">
        <f ca="1">ROUND(D63*D111/(1+'数据-取费表'!C42),0)</f>
        <v>136</v>
      </c>
      <c r="D111" s="400">
        <f>'数据-取费表'!B43</f>
        <v>5.000000000000001E-3</v>
      </c>
      <c r="E111" s="3437" t="s">
        <v>2413</v>
      </c>
      <c r="F111" s="3438"/>
      <c r="G111" s="3438"/>
      <c r="H111" s="3439"/>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70" t="s">
        <v>459</v>
      </c>
      <c r="C112" s="399">
        <f>ROUND(C108*D112,0)</f>
        <v>0</v>
      </c>
      <c r="D112" s="400">
        <v>0.2</v>
      </c>
      <c r="E112" s="3440" t="s">
        <v>2436</v>
      </c>
      <c r="F112" s="3438"/>
      <c r="G112" s="3438"/>
      <c r="H112" s="3439"/>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6" t="s">
        <v>445</v>
      </c>
      <c r="C113" s="379">
        <f ca="1">ROUND(C103-C104,0)</f>
        <v>-1338</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7" sqref="E4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31" s="1922" customFormat="1" ht="18" customHeight="1">
      <c r="A2" s="1981" t="s">
        <v>461</v>
      </c>
      <c r="B2" s="1985">
        <f ca="1">C36</f>
        <v>32645</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985</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1834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122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 ca="1">SUM(C10:K10)</f>
        <v>183945</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30" t="s">
        <v>3115</v>
      </c>
      <c r="D7" s="430" t="s">
        <v>3012</v>
      </c>
      <c r="E7" s="430" t="s">
        <v>3015</v>
      </c>
      <c r="F7" s="430" t="s">
        <v>2999</v>
      </c>
      <c r="G7" s="430"/>
      <c r="H7" s="430"/>
      <c r="I7" s="430"/>
      <c r="J7" s="430"/>
      <c r="K7" s="431"/>
      <c r="AA7" s="1992"/>
      <c r="AB7" s="1992"/>
      <c r="AC7" s="1992"/>
      <c r="AD7" s="1992"/>
      <c r="AE7" s="1992"/>
    </row>
    <row r="8" spans="1:31" s="1995" customFormat="1" ht="13.5" customHeight="1">
      <c r="A8" s="793" t="s">
        <v>1836</v>
      </c>
      <c r="B8" s="259" t="s">
        <v>466</v>
      </c>
      <c r="C8" s="2549">
        <f>'不动产比较法-住宅'!B3</f>
        <v>10925</v>
      </c>
      <c r="D8" s="2549">
        <f>'不动产比较法-高层'!C48</f>
        <v>5561</v>
      </c>
      <c r="E8" s="2549">
        <f ca="1">不动产收益法!B3</f>
        <v>884</v>
      </c>
      <c r="F8" s="2549">
        <f>'不动产比较法-商业'!B3</f>
        <v>11408</v>
      </c>
      <c r="G8" s="2549"/>
      <c r="H8" s="2549"/>
      <c r="I8" s="2549"/>
      <c r="J8" s="2549"/>
      <c r="K8" s="2550"/>
      <c r="AA8" s="1994"/>
      <c r="AB8" s="1994"/>
      <c r="AC8" s="1994"/>
      <c r="AD8" s="1994"/>
      <c r="AE8" s="1994"/>
    </row>
    <row r="9" spans="1:31" s="1995" customFormat="1" ht="13.5" customHeight="1">
      <c r="A9" s="793" t="s">
        <v>1837</v>
      </c>
      <c r="B9" s="259" t="s">
        <v>467</v>
      </c>
      <c r="C9" s="435">
        <f>SUMIF('数据-汇总表'!$C19:$C33,'剩余法-待开发'!C7,'数据-汇总表'!$E19:$E33)</f>
        <v>107417.75</v>
      </c>
      <c r="D9" s="435">
        <f>SUMIF('数据-汇总表'!$C19:$C33,'剩余法-待开发'!D7,'数据-汇总表'!$E19:$E33)</f>
        <v>97984</v>
      </c>
      <c r="E9" s="435">
        <f>SUMIF('数据-汇总表'!$C19:$C33,'剩余法-待开发'!E7,'数据-汇总表'!$E19:$E33)</f>
        <v>117480.11</v>
      </c>
      <c r="F9" s="435">
        <f>SUMIF('数据-汇总表'!$C19:$C33,'剩余法-待开发'!F7,'数据-汇总表'!$E19:$E33)</f>
        <v>1500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38">
        <f>'不动产比较法-住宅'!B2</f>
        <v>117354</v>
      </c>
      <c r="D10" s="2738">
        <f>ROUND(D8*D9/10000,0)</f>
        <v>54489</v>
      </c>
      <c r="E10" s="2738">
        <f ca="1">不动产收益法!B2</f>
        <v>10391</v>
      </c>
      <c r="F10" s="2552">
        <f>'不动产比较法-商业'!B2</f>
        <v>1711</v>
      </c>
      <c r="G10" s="2552"/>
      <c r="H10" s="2552"/>
      <c r="I10" s="2552"/>
      <c r="J10" s="2552"/>
      <c r="K10" s="2553"/>
      <c r="L10" s="1995">
        <f ca="1">E10/2759</f>
        <v>3.7662196447988401</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4">
        <f ca="1">IF(B1="",'数据-取费表'!P16,INDIRECT("'数据-取费表'!p"&amp;$K$1)+INDIRECT("'数据-取费表'!t"&amp;$K$1))</f>
        <v>81110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2433</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1541</v>
      </c>
      <c r="D15" s="2559"/>
      <c r="E15" s="2560"/>
      <c r="F15" s="2562">
        <f>'数据-取费表'!B34</f>
        <v>0.03</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6631</v>
      </c>
      <c r="D16" s="2559">
        <f ca="1">IF(B1="",'数据-汇总表'!E3,INDIRECT("'数据-取费表'!K"&amp;$K$1)+INDIRECT("'数据-取费表'!S"&amp;$K$1))</f>
        <v>331534.86</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1217</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92932</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6631</v>
      </c>
      <c r="D19" s="2569">
        <f ca="1">D16</f>
        <v>331534.86</v>
      </c>
      <c r="E19" s="2523">
        <f>'数据-取费表'!B32</f>
        <v>200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1405</v>
      </c>
      <c r="D20" s="2569"/>
      <c r="E20" s="2523"/>
      <c r="F20" s="2570"/>
      <c r="G20" s="2772"/>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1027</v>
      </c>
      <c r="D21" s="2559">
        <f ca="1">IF(B1="",'数据-汇总表'!E5,IF(INDIRECT("'数据-取费表'!c"&amp;$K$1)="住宅",INDIRECT("'数据-取费表'!k"&amp;$K$1),0))</f>
        <v>205401.75</v>
      </c>
      <c r="E21" s="53">
        <f>'数据-取费表'!B27</f>
        <v>50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378</v>
      </c>
      <c r="D22" s="2559">
        <f ca="1">IF(B1="",'数据-汇总表'!E6,IF(INDIRECT("'数据-取费表'!c"&amp;$K$1)="住宅",INDIRECT("'数据-取费表'!s"&amp;$K$1),INDIRECT("'数据-取费表'!k"&amp;$K$1)+INDIRECT("'数据-取费表'!s"&amp;$K$1)))</f>
        <v>126133.10999999999</v>
      </c>
      <c r="E22" s="53">
        <f>'数据-取费表'!B28</f>
        <v>30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2019</v>
      </c>
      <c r="D23" s="462"/>
      <c r="E23" s="462"/>
      <c r="F23" s="2571">
        <f>'数据-取费表'!B37</f>
        <v>0.02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 ca="1">ROUND(C6*F24,0)</f>
        <v>3679</v>
      </c>
      <c r="D24" s="469"/>
      <c r="E24" s="467"/>
      <c r="F24" s="2571">
        <f>'数据-取费表'!B38</f>
        <v>0.02</v>
      </c>
      <c r="G24" s="2536" t="s">
        <v>493</v>
      </c>
      <c r="H24" s="2530"/>
      <c r="I24" s="2530"/>
      <c r="J24" s="2530"/>
      <c r="K24" s="277"/>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4" t="s">
        <v>2814</v>
      </c>
      <c r="C25" s="461">
        <f>ROUND(F25/(1+'数据-取费表'!C42),4)</f>
        <v>2.9000000000000001E-2</v>
      </c>
      <c r="D25" s="456" t="s">
        <v>2808</v>
      </c>
      <c r="E25" s="463"/>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5" t="s">
        <v>2815</v>
      </c>
      <c r="C26" s="2572">
        <f ca="1">C28</f>
        <v>7035</v>
      </c>
      <c r="D26" s="461">
        <f ca="1">C27</f>
        <v>0.14019999999999999</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3" t="s">
        <v>1847</v>
      </c>
      <c r="B27" s="2573" t="s">
        <v>490</v>
      </c>
      <c r="C27" s="2574">
        <f ca="1">ROUND(IF('数据-取费表'!B22&lt;=1,(1+C25)*F26*'数据-取费表'!B24,(1+C25)*(POWER((1+F26),'数据-取费表'!B24)-1)),4)</f>
        <v>0.14019999999999999</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0" customFormat="1" ht="13.5" customHeight="1">
      <c r="A28" s="793" t="s">
        <v>1848</v>
      </c>
      <c r="B28" s="2573" t="s">
        <v>2817</v>
      </c>
      <c r="C28" s="2575">
        <f ca="1">ROUND(IF('数据-取费表'!B22&lt;=1,(C18+C19+C20+C23+C24)*F26*'数据-取费表'!B24/2,(C18+C19+C20+C23+C24)*(POWER((1+F26),'数据-取费表'!B24/2)-1)),0)</f>
        <v>7035</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9635</v>
      </c>
      <c r="D29" s="462"/>
      <c r="E29" s="462"/>
      <c r="F29" s="2746">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1" t="s">
        <v>1854</v>
      </c>
      <c r="B30" s="2577" t="s">
        <v>494</v>
      </c>
      <c r="C30" s="2572">
        <f ca="1">C31</f>
        <v>123336</v>
      </c>
      <c r="D30" s="471">
        <f ca="1">C32</f>
        <v>0.16919999999999999</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3" t="s">
        <v>1847</v>
      </c>
      <c r="B31" s="2573"/>
      <c r="C31" s="444">
        <f ca="1">C18+C19+C20+C23+C24+C26+C29</f>
        <v>123336</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0" customFormat="1" ht="13.5" customHeight="1">
      <c r="A32" s="793" t="s">
        <v>1848</v>
      </c>
      <c r="B32" s="2573"/>
      <c r="C32" s="53">
        <f ca="1">ROUND(C25+D26,4)</f>
        <v>0.16919999999999999</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2" customFormat="1" ht="13.5" customHeight="1">
      <c r="A33" s="2743" t="s">
        <v>2812</v>
      </c>
      <c r="B33" s="2741" t="s">
        <v>2810</v>
      </c>
      <c r="C33" s="472">
        <f ca="1">C35</f>
        <v>17067</v>
      </c>
      <c r="D33" s="461">
        <f ca="1">C34</f>
        <v>0.1646</v>
      </c>
      <c r="E33" s="463" t="s">
        <v>489</v>
      </c>
      <c r="F33" s="473">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9" t="s">
        <v>1847</v>
      </c>
      <c r="B34" s="2578" t="s">
        <v>495</v>
      </c>
      <c r="C34" s="466">
        <f ca="1">ROUND((1+C25)*F33,4)</f>
        <v>0.1646</v>
      </c>
      <c r="D34" s="466"/>
      <c r="E34" s="467"/>
      <c r="F34" s="474"/>
      <c r="G34" s="259" t="s">
        <v>2278</v>
      </c>
      <c r="H34" s="2530"/>
      <c r="I34" s="2530"/>
      <c r="J34" s="2530"/>
      <c r="K34" s="277"/>
      <c r="L34" s="3200"/>
      <c r="M34" s="3200"/>
      <c r="N34" s="3200"/>
      <c r="O34" s="3200"/>
      <c r="P34" s="3200"/>
      <c r="Q34" s="3200"/>
      <c r="R34" s="3200"/>
      <c r="S34" s="3200"/>
      <c r="T34" s="3200"/>
      <c r="U34" s="3200"/>
      <c r="V34" s="3200"/>
      <c r="W34" s="3200"/>
      <c r="X34" s="3200"/>
      <c r="Y34" s="3200"/>
      <c r="Z34" s="3200"/>
    </row>
    <row r="35" spans="1:26" s="2003" customFormat="1" ht="13.5" customHeight="1" thickBot="1">
      <c r="A35" s="1562" t="s">
        <v>1848</v>
      </c>
      <c r="B35" s="2742" t="s">
        <v>2818</v>
      </c>
      <c r="C35" s="1554">
        <f ca="1">ROUND((C18+C19+C20+C23+C24)*F33,0)</f>
        <v>17067</v>
      </c>
      <c r="D35" s="1555"/>
      <c r="E35" s="2579"/>
      <c r="F35" s="1556"/>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2" t="s">
        <v>1835</v>
      </c>
      <c r="B36" s="2541"/>
      <c r="C36" s="2580">
        <f ca="1">ROUND((C6-C30-C33)/(1+D30+D33),0)</f>
        <v>32645</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1675</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2632</v>
      </c>
      <c r="B6" s="427"/>
      <c r="C6" s="1549">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3"/>
      <c r="M11" s="3193"/>
      <c r="N11" s="3193"/>
      <c r="O11" s="3193"/>
      <c r="P11" s="3193"/>
      <c r="Q11" s="3193"/>
      <c r="R11" s="3193"/>
      <c r="S11" s="3193"/>
      <c r="T11" s="3193"/>
      <c r="U11" s="3193"/>
      <c r="V11" s="3193"/>
      <c r="W11" s="3193"/>
      <c r="X11" s="3193"/>
      <c r="Y11" s="3193"/>
      <c r="Z11" s="3193"/>
    </row>
    <row r="12" spans="1:41" s="1965"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6" customFormat="1" ht="13.5" customHeight="1">
      <c r="A13" s="1559" t="s">
        <v>1839</v>
      </c>
      <c r="B13" s="443" t="s">
        <v>473</v>
      </c>
      <c r="C13" s="444">
        <f ca="1">IF(B1="",'数据-取费表'!M16,INDIRECT("'数据-取费表'!M"&amp;$K$1)+INDIRECT("'数据-取费表'!t"&amp;$K$1))</f>
        <v>81110</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3" t="s">
        <v>474</v>
      </c>
      <c r="C14" s="53">
        <f ca="1">ROUND(C13*F14,0)</f>
        <v>2433</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3" t="s">
        <v>476</v>
      </c>
      <c r="C15" s="53">
        <f ca="1">ROUND(IF(B1="",SUMIF('数据-取费表'!C:C,"住宅",'数据-取费表'!M:M)*F15,IF(INDIRECT("'数据-取费表'!c"&amp;$K$1)="住宅",INDIRECT("'数据-取费表'!M"&amp;$K$1)*F15,0)),0)</f>
        <v>1541</v>
      </c>
      <c r="D15" s="445"/>
      <c r="E15" s="363"/>
      <c r="F15" s="447">
        <f>'数据-取费表'!B34</f>
        <v>0.03</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3" t="s">
        <v>478</v>
      </c>
      <c r="C16" s="53">
        <f ca="1">ROUND(D16*E16/10000,0)</f>
        <v>6631</v>
      </c>
      <c r="D16" s="445">
        <f ca="1">IF(B1="",'数据-汇总表'!E3,INDIRECT("'数据-取费表'!K"&amp;$K$1)+INDIRECT("'数据-取费表'!S"&amp;$K$1))</f>
        <v>331534.86</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3" t="s">
        <v>479</v>
      </c>
      <c r="C17" s="448">
        <f ca="1">ROUND(C13*F17,0)</f>
        <v>1217</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3" t="s">
        <v>481</v>
      </c>
      <c r="C18" s="454">
        <f ca="1">SUM(C13:C17)</f>
        <v>92932</v>
      </c>
      <c r="D18" s="455"/>
      <c r="E18" s="456"/>
      <c r="F18" s="456"/>
      <c r="G18" s="1279" t="s">
        <v>2416</v>
      </c>
      <c r="H18" s="441"/>
      <c r="I18" s="441"/>
      <c r="J18" s="441"/>
      <c r="K18" s="442"/>
      <c r="L18" s="3196"/>
      <c r="M18" s="3196"/>
      <c r="N18" s="3196"/>
      <c r="O18" s="3196"/>
      <c r="P18" s="3196"/>
      <c r="Q18" s="3196"/>
      <c r="R18" s="3196"/>
      <c r="S18" s="3196"/>
      <c r="T18" s="3196"/>
      <c r="U18" s="3196"/>
      <c r="V18" s="3196"/>
      <c r="W18" s="3196"/>
      <c r="X18" s="3196"/>
      <c r="Y18" s="3196"/>
      <c r="Z18" s="3196"/>
    </row>
    <row r="19" spans="1:26" s="1999" customFormat="1" ht="13.5" customHeight="1">
      <c r="A19" s="1560" t="s">
        <v>1845</v>
      </c>
      <c r="B19" s="453" t="s">
        <v>487</v>
      </c>
      <c r="C19" s="454">
        <f ca="1">ROUND(C18*F19,0)</f>
        <v>1859</v>
      </c>
      <c r="D19" s="456"/>
      <c r="E19" s="456"/>
      <c r="F19" s="460">
        <f>'数据-取费表'!B37</f>
        <v>0.02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1999" customFormat="1" ht="13.5" customHeight="1">
      <c r="A20" s="1560" t="s">
        <v>1846</v>
      </c>
      <c r="B20" s="453" t="s">
        <v>498</v>
      </c>
      <c r="C20" s="2739">
        <f>F20</f>
        <v>0.02</v>
      </c>
      <c r="D20" s="463" t="s">
        <v>499</v>
      </c>
      <c r="E20" s="463"/>
      <c r="F20" s="480">
        <f>'数据-取费表'!B38</f>
        <v>0.02</v>
      </c>
      <c r="G20" s="1279"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1" customFormat="1" ht="13.5" customHeight="1">
      <c r="A21" s="1560" t="s">
        <v>1849</v>
      </c>
      <c r="B21" s="455" t="s">
        <v>488</v>
      </c>
      <c r="C21" s="464">
        <f ca="1">C22</f>
        <v>6252</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0" customFormat="1" ht="13.5" customHeight="1">
      <c r="A22" s="1559" t="s">
        <v>1839</v>
      </c>
      <c r="B22" s="1280" t="s">
        <v>2419</v>
      </c>
      <c r="C22" s="481">
        <f ca="1">ROUND(IF('数据-取费表'!B22&lt;=1,(C18+C19)*F21*'数据-取费表'!B20/2,(C18+C19)*(POWER((1+F21),'数据-取费表'!B20/2)-1)),0)</f>
        <v>6252</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0" customFormat="1" ht="13.5" customHeight="1">
      <c r="A23" s="1559" t="s">
        <v>1840</v>
      </c>
      <c r="B23" s="1280" t="s">
        <v>502</v>
      </c>
      <c r="C23" s="482">
        <f ca="1">ROUND(IF('数据-取费表'!B22&lt;=1,F20*F21*'数据-取费表'!B20/2,F20*(POWER((1+F21),'数据-取费表'!B20/2)-1)),4)</f>
        <v>1.2999999999999999E-3</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0" customFormat="1" ht="13.5" customHeight="1">
      <c r="A24" s="1560" t="s">
        <v>1850</v>
      </c>
      <c r="B24" s="2741" t="s">
        <v>2811</v>
      </c>
      <c r="C24" s="472">
        <f ca="1">C25</f>
        <v>15167</v>
      </c>
      <c r="D24" s="483">
        <f ca="1">C26</f>
        <v>3.2000000000000002E-3</v>
      </c>
      <c r="E24" s="463" t="s">
        <v>501</v>
      </c>
      <c r="F24" s="473">
        <f ca="1">IF(B1="",'数据-取费表'!Q16,INDIRECT("'数据-取费表'!q"&amp;$K$1))</f>
        <v>0.16</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0" customFormat="1" ht="13.5" customHeight="1">
      <c r="A25" s="1559" t="s">
        <v>1839</v>
      </c>
      <c r="B25" s="1280" t="s">
        <v>2420</v>
      </c>
      <c r="C25" s="484">
        <f ca="1">ROUND((C18+C19)*F24,0)</f>
        <v>15167</v>
      </c>
      <c r="D25" s="466"/>
      <c r="E25" s="467"/>
      <c r="F25" s="474"/>
      <c r="G25" s="1278"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0" customFormat="1" ht="13.5" customHeight="1">
      <c r="A26" s="1559" t="s">
        <v>1840</v>
      </c>
      <c r="B26" s="1280" t="s">
        <v>503</v>
      </c>
      <c r="C26" s="485">
        <f ca="1">ROUND(F20*F24,4)</f>
        <v>3.2000000000000002E-3</v>
      </c>
      <c r="D26" s="466"/>
      <c r="E26" s="475"/>
      <c r="F26" s="474"/>
      <c r="G26" s="1278"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0" customFormat="1" ht="13.5" customHeight="1">
      <c r="A27" s="1563" t="s">
        <v>1858</v>
      </c>
      <c r="B27" s="453" t="s">
        <v>505</v>
      </c>
      <c r="C27" s="2740">
        <f>ROUND(F27/(1+'数据-取费表'!C42),4)</f>
        <v>5.2400000000000002E-2</v>
      </c>
      <c r="D27" s="456" t="s">
        <v>2809</v>
      </c>
      <c r="E27" s="456"/>
      <c r="F27" s="460">
        <f>'数据-取费表'!B41</f>
        <v>5.5000000000000007E-2</v>
      </c>
      <c r="G27" s="1872"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1" customFormat="1" ht="13.5" customHeight="1">
      <c r="A28" s="1563" t="s">
        <v>1859</v>
      </c>
      <c r="B28" s="470" t="s">
        <v>506</v>
      </c>
      <c r="C28" s="464">
        <f ca="1">ROUND((C18+C19+C21+C24)/(1-C20-D21-D24-C27),0)</f>
        <v>125891</v>
      </c>
      <c r="D28" s="471"/>
      <c r="E28" s="463"/>
      <c r="F28" s="465"/>
      <c r="G28" s="1279"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1" customFormat="1" ht="13.5" customHeight="1">
      <c r="A29" s="1563" t="s">
        <v>1860</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1" customFormat="1" ht="13.5" customHeight="1">
      <c r="A30" s="437">
        <v>2</v>
      </c>
      <c r="B30" s="470" t="s">
        <v>508</v>
      </c>
      <c r="C30" s="491">
        <f ca="1">ROUND(C28*C29,0)</f>
        <v>0</v>
      </c>
      <c r="D30" s="487"/>
      <c r="E30" s="492"/>
      <c r="F30" s="493"/>
      <c r="G30" s="1281"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4">
        <f>ROUND(C6*F31/(1+'数据-取费表'!C42),0)</f>
        <v>0</v>
      </c>
      <c r="D31" s="1283"/>
      <c r="E31" s="1283"/>
      <c r="F31" s="495">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4"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06" t="str">
        <f>项目基本情况!B1</f>
        <v>黔南布衣苗族自治州龙里县龙山镇比孟村出让国有建设用地使用权抵押价格预评估</v>
      </c>
      <c r="C37" s="3306"/>
      <c r="D37" s="3306"/>
      <c r="E37" s="3306"/>
      <c r="F37" s="3306"/>
      <c r="G37" s="3306"/>
      <c r="H37" s="3306"/>
      <c r="I37" s="3306"/>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崔锴、郑燚</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5" zoomScaleNormal="95" zoomScaleSheetLayoutView="85" workbookViewId="0">
      <selection activeCell="F58" sqref="F58"/>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7" t="s">
        <v>461</v>
      </c>
      <c r="B2" s="502">
        <f>F68</f>
        <v>22304</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8" t="s">
        <v>1675</v>
      </c>
      <c r="B3" s="504">
        <f>ROUND(B2*10000/'数据-汇总表'!E3,0)</f>
        <v>673</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5" t="s">
        <v>514</v>
      </c>
      <c r="B4" s="421">
        <f>IF(B48="单位面积地价",C50,ROUND(B2*10000/'数据-汇总表'!D3,0))</f>
        <v>1253</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84</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6" t="s">
        <v>515</v>
      </c>
      <c r="B6" s="507"/>
      <c r="C6" s="3488" t="s">
        <v>516</v>
      </c>
      <c r="D6" s="3489"/>
      <c r="E6" s="3488" t="s">
        <v>517</v>
      </c>
      <c r="F6" s="3489"/>
      <c r="G6" s="3488" t="s">
        <v>518</v>
      </c>
      <c r="H6" s="3489"/>
      <c r="I6" s="3488" t="s">
        <v>519</v>
      </c>
      <c r="J6" s="3489"/>
      <c r="K6" s="508" t="s">
        <v>520</v>
      </c>
      <c r="L6" s="2013"/>
      <c r="M6" s="2012"/>
      <c r="N6" s="2012"/>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30" ht="20.25">
      <c r="A7" s="509"/>
      <c r="B7" s="510"/>
      <c r="C7" s="3504" t="s">
        <v>2886</v>
      </c>
      <c r="D7" s="3505"/>
      <c r="E7" s="3504" t="str">
        <f>Sheet1!A2</f>
        <v>龙山镇比孟村</v>
      </c>
      <c r="F7" s="3505"/>
      <c r="G7" s="3504" t="str">
        <f>Sheet1!A7</f>
        <v>龙山镇比孟村</v>
      </c>
      <c r="H7" s="3505"/>
      <c r="I7" s="3504" t="str">
        <f>Sheet1!A14</f>
        <v>龙山镇比孟村</v>
      </c>
      <c r="J7" s="3505"/>
      <c r="K7" s="508"/>
      <c r="L7" s="2013"/>
      <c r="M7" s="2012"/>
      <c r="N7" s="2012"/>
      <c r="O7" s="2014"/>
      <c r="P7" s="3492"/>
      <c r="Q7" s="3493"/>
      <c r="R7" s="3498"/>
      <c r="S7" s="3499"/>
      <c r="T7" s="3498"/>
      <c r="U7" s="3499"/>
      <c r="V7" s="3483"/>
      <c r="W7" s="3483"/>
      <c r="X7" s="1499"/>
      <c r="Y7" s="3498"/>
      <c r="Z7" s="3499"/>
      <c r="AA7" s="3486"/>
      <c r="AB7" s="3486"/>
      <c r="AC7" s="3486"/>
    </row>
    <row r="8" spans="1:30" ht="21" thickBot="1">
      <c r="A8" s="509"/>
      <c r="B8" s="510"/>
      <c r="C8" s="3506" t="s">
        <v>2890</v>
      </c>
      <c r="D8" s="3507"/>
      <c r="E8" s="3506" t="s">
        <v>2890</v>
      </c>
      <c r="F8" s="3507"/>
      <c r="G8" s="3502" t="s">
        <v>2890</v>
      </c>
      <c r="H8" s="3503"/>
      <c r="I8" s="3502" t="s">
        <v>2890</v>
      </c>
      <c r="J8" s="3503"/>
      <c r="K8" s="508" t="s">
        <v>522</v>
      </c>
      <c r="L8" s="2013"/>
      <c r="M8" s="2012"/>
      <c r="N8" s="2012"/>
      <c r="O8" s="2014"/>
      <c r="P8" s="3494"/>
      <c r="Q8" s="3495"/>
      <c r="R8" s="3498"/>
      <c r="S8" s="3499"/>
      <c r="T8" s="3500"/>
      <c r="U8" s="3501"/>
      <c r="V8" s="3483"/>
      <c r="W8" s="3483"/>
      <c r="X8" s="1499"/>
      <c r="Y8" s="3500"/>
      <c r="Z8" s="3501"/>
      <c r="AA8" s="3487"/>
      <c r="AB8" s="3487"/>
      <c r="AC8" s="3487"/>
    </row>
    <row r="9" spans="1:30" s="1201" customFormat="1" ht="21" thickBot="1">
      <c r="A9" s="2627"/>
      <c r="B9" s="2634" t="s">
        <v>523</v>
      </c>
      <c r="C9" s="2626">
        <f>'数据-取费表'!B2</f>
        <v>44295</v>
      </c>
      <c r="D9" s="514">
        <v>100</v>
      </c>
      <c r="E9" s="515" t="str">
        <f>Sheet1!J2</f>
        <v>2020-12-15</v>
      </c>
      <c r="F9" s="516">
        <f>SUMIF(72:72,YEAR(E9)&amp;"-"&amp;INT((MONTH(E9)+2)/3),73:73)</f>
        <v>99</v>
      </c>
      <c r="G9" s="517" t="str">
        <f>Sheet1!J7</f>
        <v>2020-11-25</v>
      </c>
      <c r="H9" s="514">
        <f>SUMIF(72:72,YEAR(G9)&amp;"-"&amp;INT((MONTH(G9)+2)/3),73:73)</f>
        <v>99</v>
      </c>
      <c r="I9" s="517" t="str">
        <f>Sheet1!J14</f>
        <v>2020-04-30</v>
      </c>
      <c r="J9" s="514">
        <f>SUMIF(72:72,YEAR(I9)&amp;"-"&amp;INT((MONTH(I9)+2)/3),73:73)</f>
        <v>98</v>
      </c>
      <c r="K9" s="518"/>
      <c r="L9" s="2015"/>
      <c r="M9" s="2012"/>
      <c r="N9" s="2012"/>
      <c r="O9" s="2016"/>
      <c r="P9" s="3513" t="s">
        <v>524</v>
      </c>
      <c r="Q9" s="3515"/>
      <c r="R9" s="1500" t="s">
        <v>8</v>
      </c>
      <c r="S9" s="1501">
        <f t="shared" ref="S9:S17" si="0">F9</f>
        <v>99</v>
      </c>
      <c r="T9" s="1500" t="s">
        <v>8</v>
      </c>
      <c r="U9" s="1501">
        <f t="shared" ref="U9:U17" si="1">H9</f>
        <v>99</v>
      </c>
      <c r="V9" s="1500" t="s">
        <v>8</v>
      </c>
      <c r="W9" s="1501">
        <f t="shared" ref="W9:W17" si="2">J9</f>
        <v>98</v>
      </c>
      <c r="X9" s="1502"/>
      <c r="Y9" s="3513" t="s">
        <v>524</v>
      </c>
      <c r="Z9" s="3514"/>
      <c r="AA9" s="1503">
        <f>D9/F9</f>
        <v>1.0101010101010102</v>
      </c>
      <c r="AB9" s="1503">
        <f>D9/H9</f>
        <v>1.0101010101010102</v>
      </c>
      <c r="AC9" s="1503">
        <f>D9/J9</f>
        <v>1.0204081632653061</v>
      </c>
    </row>
    <row r="10" spans="1:30" s="1201" customFormat="1" ht="21" thickBot="1">
      <c r="A10" s="2628"/>
      <c r="B10" s="2635" t="s">
        <v>525</v>
      </c>
      <c r="C10" s="845" t="s">
        <v>526</v>
      </c>
      <c r="D10" s="514">
        <v>100</v>
      </c>
      <c r="E10" s="519" t="s">
        <v>3071</v>
      </c>
      <c r="F10" s="516">
        <f>SUMIF(75:75,E10,76:76)-SUMIF(75:75,C10,76:76)+100</f>
        <v>100</v>
      </c>
      <c r="G10" s="519" t="s">
        <v>3071</v>
      </c>
      <c r="H10" s="514">
        <f>SUMIF(75:75,G10,76:76)-SUMIF(75:75,C10,76:76)+100</f>
        <v>100</v>
      </c>
      <c r="I10" s="519" t="s">
        <v>3071</v>
      </c>
      <c r="J10" s="514">
        <f>SUMIF(75:75,I10,76:76)-SUMIF(75:75,C10,76:76)+100</f>
        <v>100</v>
      </c>
      <c r="K10" s="518"/>
      <c r="L10" s="2015"/>
      <c r="M10" s="2012"/>
      <c r="N10" s="2012"/>
      <c r="O10" s="2016"/>
      <c r="P10" s="3513" t="s">
        <v>527</v>
      </c>
      <c r="Q10" s="3514"/>
      <c r="R10" s="1500" t="s">
        <v>8</v>
      </c>
      <c r="S10" s="1501">
        <f t="shared" si="0"/>
        <v>100</v>
      </c>
      <c r="T10" s="1500" t="s">
        <v>8</v>
      </c>
      <c r="U10" s="1501">
        <f t="shared" si="1"/>
        <v>100</v>
      </c>
      <c r="V10" s="1500" t="s">
        <v>8</v>
      </c>
      <c r="W10" s="1501">
        <f t="shared" si="2"/>
        <v>100</v>
      </c>
      <c r="X10" s="1502"/>
      <c r="Y10" s="3513" t="s">
        <v>527</v>
      </c>
      <c r="Z10" s="3514"/>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5"/>
      <c r="M11" s="2012"/>
      <c r="N11" s="2012"/>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30" s="1290" customFormat="1" ht="27">
      <c r="A12" s="2630"/>
      <c r="B12" s="2635" t="s">
        <v>2737</v>
      </c>
      <c r="C12" s="897">
        <f>项目基本情况!D19</f>
        <v>69.540000000000006</v>
      </c>
      <c r="D12" s="253">
        <v>100</v>
      </c>
      <c r="E12" s="523" t="s">
        <v>3123</v>
      </c>
      <c r="F12" s="253">
        <f>ROUND(100/'数据-取费表'!G16,0)</f>
        <v>100</v>
      </c>
      <c r="G12" s="524" t="s">
        <v>3123</v>
      </c>
      <c r="H12" s="253">
        <f>ROUND(100/'数据-取费表'!G16,0)</f>
        <v>100</v>
      </c>
      <c r="I12" s="524" t="s">
        <v>3123</v>
      </c>
      <c r="J12" s="253">
        <f>ROUND(100/'数据-取费表'!G16,0)</f>
        <v>100</v>
      </c>
      <c r="K12" s="525"/>
      <c r="L12" s="2018"/>
      <c r="M12" s="2012"/>
      <c r="N12" s="2012"/>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30" ht="21" thickBot="1">
      <c r="A13" s="2631"/>
      <c r="B13" s="2635" t="s">
        <v>2738</v>
      </c>
      <c r="C13" s="528">
        <f>'数据-汇总表'!I4</f>
        <v>1.19</v>
      </c>
      <c r="D13" s="253">
        <v>100</v>
      </c>
      <c r="E13" s="527">
        <v>2.2000000000000002</v>
      </c>
      <c r="F13" s="253">
        <f>LOOKUP(E13,82:82,83:83)-LOOKUP(C13,82:82,83:83)+100</f>
        <v>80</v>
      </c>
      <c r="G13" s="528">
        <v>2.2000000000000002</v>
      </c>
      <c r="H13" s="253">
        <f>LOOKUP(G13,82:82,83:83)-LOOKUP(C13,82:82,83:83)+100</f>
        <v>80</v>
      </c>
      <c r="I13" s="527">
        <v>2.2000000000000002</v>
      </c>
      <c r="J13" s="253">
        <f>LOOKUP(I13,82:82,83:83)-LOOKUP(C13,82:82,83:83)+100</f>
        <v>80</v>
      </c>
      <c r="K13" s="529">
        <v>10</v>
      </c>
      <c r="L13" s="2020"/>
      <c r="M13" s="2012"/>
      <c r="N13" s="2012"/>
      <c r="O13" s="2021"/>
      <c r="P13" s="3482"/>
      <c r="Q13" s="1132" t="str">
        <f t="shared" si="6"/>
        <v>容积率</v>
      </c>
      <c r="R13" s="1500" t="s">
        <v>8</v>
      </c>
      <c r="S13" s="1501">
        <f t="shared" si="0"/>
        <v>80</v>
      </c>
      <c r="T13" s="1500" t="s">
        <v>8</v>
      </c>
      <c r="U13" s="1501">
        <f t="shared" si="1"/>
        <v>80</v>
      </c>
      <c r="V13" s="1500" t="s">
        <v>8</v>
      </c>
      <c r="W13" s="1501">
        <f t="shared" si="2"/>
        <v>80</v>
      </c>
      <c r="X13" s="1502"/>
      <c r="Y13" s="3428"/>
      <c r="Z13" s="1131" t="str">
        <f t="shared" si="7"/>
        <v>容积率</v>
      </c>
      <c r="AA13" s="1503">
        <f t="shared" si="3"/>
        <v>1.25</v>
      </c>
      <c r="AB13" s="1503">
        <f t="shared" si="4"/>
        <v>1.25</v>
      </c>
      <c r="AC13" s="1503">
        <f t="shared" si="5"/>
        <v>1.25</v>
      </c>
    </row>
    <row r="14" spans="1:30" s="1201" customFormat="1" ht="20.25" hidden="1">
      <c r="A14" s="2628"/>
      <c r="B14" s="2637" t="s">
        <v>2739</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482"/>
      <c r="Q14" s="1132" t="str">
        <f t="shared" si="6"/>
        <v>配建</v>
      </c>
      <c r="R14" s="1500" t="s">
        <v>8</v>
      </c>
      <c r="S14" s="1501">
        <f t="shared" si="0"/>
        <v>100</v>
      </c>
      <c r="T14" s="1500" t="s">
        <v>8</v>
      </c>
      <c r="U14" s="1501">
        <f t="shared" si="1"/>
        <v>100</v>
      </c>
      <c r="V14" s="1500" t="s">
        <v>8</v>
      </c>
      <c r="W14" s="1501">
        <f t="shared" si="2"/>
        <v>100</v>
      </c>
      <c r="X14" s="1502"/>
      <c r="Y14" s="3428"/>
      <c r="Z14" s="1131" t="str">
        <f t="shared" si="7"/>
        <v>配建</v>
      </c>
      <c r="AA14" s="1503">
        <f>D14/F14</f>
        <v>1</v>
      </c>
      <c r="AB14" s="1503">
        <f>D14/H14</f>
        <v>1</v>
      </c>
      <c r="AC14" s="1503">
        <f>D14/J14</f>
        <v>1</v>
      </c>
    </row>
    <row r="15" spans="1:30" ht="20.25" hidden="1">
      <c r="A15" s="2632"/>
      <c r="B15" s="2638">
        <v>111</v>
      </c>
      <c r="C15" s="899"/>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D15/F15</f>
        <v>1</v>
      </c>
      <c r="AB15" s="1503">
        <f>D15/H15</f>
        <v>1</v>
      </c>
      <c r="AC15" s="1503">
        <f>D15/J15</f>
        <v>1</v>
      </c>
    </row>
    <row r="16" spans="1:30" ht="21" hidden="1" thickBot="1">
      <c r="A16" s="2633"/>
      <c r="B16" s="2639">
        <v>111</v>
      </c>
      <c r="C16" s="902"/>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D16/F16</f>
        <v>1</v>
      </c>
      <c r="AB16" s="1503">
        <f>D16/H16</f>
        <v>1</v>
      </c>
      <c r="AC16" s="1503">
        <f>D16/J16</f>
        <v>1</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2"/>
      <c r="M17" s="2012"/>
      <c r="N17" s="2012"/>
      <c r="O17" s="2021"/>
      <c r="P17" s="3516" t="s">
        <v>534</v>
      </c>
      <c r="Q17" s="1504" t="str">
        <f t="shared" si="6"/>
        <v>居住社区成熟度</v>
      </c>
      <c r="R17" s="1505" t="s">
        <v>8</v>
      </c>
      <c r="S17" s="1506">
        <f t="shared" si="0"/>
        <v>100</v>
      </c>
      <c r="T17" s="1505" t="s">
        <v>8</v>
      </c>
      <c r="U17" s="1506">
        <f t="shared" si="1"/>
        <v>100</v>
      </c>
      <c r="V17" s="1505" t="s">
        <v>8</v>
      </c>
      <c r="W17" s="1506">
        <f t="shared" si="2"/>
        <v>100</v>
      </c>
      <c r="X17" s="1499"/>
      <c r="Y17" s="3516" t="s">
        <v>534</v>
      </c>
      <c r="Z17" s="1507" t="str">
        <f t="shared" si="7"/>
        <v>居住社区成熟度</v>
      </c>
      <c r="AA17" s="1508">
        <f t="shared" si="3"/>
        <v>1</v>
      </c>
      <c r="AB17" s="1508">
        <f t="shared" si="4"/>
        <v>1</v>
      </c>
      <c r="AC17" s="1508">
        <f t="shared" si="5"/>
        <v>1</v>
      </c>
    </row>
    <row r="18" spans="1:29" ht="20.25">
      <c r="A18" s="526"/>
      <c r="B18" s="547"/>
      <c r="C18" s="548" t="s">
        <v>3080</v>
      </c>
      <c r="D18" s="551"/>
      <c r="E18" s="548" t="s">
        <v>3080</v>
      </c>
      <c r="F18" s="549"/>
      <c r="G18" s="548" t="s">
        <v>3080</v>
      </c>
      <c r="H18" s="553"/>
      <c r="I18" s="548" t="s">
        <v>3080</v>
      </c>
      <c r="J18" s="549"/>
      <c r="K18" s="525"/>
      <c r="L18" s="2022"/>
      <c r="M18" s="2012"/>
      <c r="N18" s="2012"/>
      <c r="O18" s="2021"/>
      <c r="P18" s="3517"/>
      <c r="Q18" s="1504"/>
      <c r="R18" s="1505"/>
      <c r="S18" s="1506"/>
      <c r="T18" s="1505"/>
      <c r="U18" s="1506"/>
      <c r="V18" s="1505"/>
      <c r="W18" s="1506"/>
      <c r="X18" s="1499"/>
      <c r="Y18" s="3517"/>
      <c r="Z18" s="1507"/>
      <c r="AA18" s="1508">
        <v>1</v>
      </c>
      <c r="AB18" s="1508">
        <v>1</v>
      </c>
      <c r="AC18" s="1508">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2"/>
      <c r="M19" s="2012"/>
      <c r="N19" s="2012"/>
      <c r="O19" s="2021"/>
      <c r="P19" s="3517"/>
      <c r="Q19" s="1504" t="str">
        <f>B19</f>
        <v>商业繁华度</v>
      </c>
      <c r="R19" s="1505" t="s">
        <v>8</v>
      </c>
      <c r="S19" s="1506">
        <f>F19</f>
        <v>100</v>
      </c>
      <c r="T19" s="1505" t="s">
        <v>8</v>
      </c>
      <c r="U19" s="1506">
        <f>H19</f>
        <v>100</v>
      </c>
      <c r="V19" s="1505" t="s">
        <v>8</v>
      </c>
      <c r="W19" s="1506">
        <f>J19</f>
        <v>100</v>
      </c>
      <c r="X19" s="1499"/>
      <c r="Y19" s="3517"/>
      <c r="Z19" s="1507" t="str">
        <f>Q19</f>
        <v>商业繁华度</v>
      </c>
      <c r="AA19" s="1508">
        <f t="shared" si="3"/>
        <v>1</v>
      </c>
      <c r="AB19" s="1508">
        <f t="shared" si="4"/>
        <v>1</v>
      </c>
      <c r="AC19" s="1508">
        <f t="shared" si="5"/>
        <v>1</v>
      </c>
    </row>
    <row r="20" spans="1:29" ht="20.25" hidden="1">
      <c r="A20" s="526"/>
      <c r="B20" s="560"/>
      <c r="C20" s="561"/>
      <c r="D20" s="557"/>
      <c r="E20" s="563"/>
      <c r="F20" s="553"/>
      <c r="G20" s="562"/>
      <c r="H20" s="549"/>
      <c r="I20" s="563"/>
      <c r="J20" s="549"/>
      <c r="K20" s="525"/>
      <c r="L20" s="2022"/>
      <c r="M20" s="2012"/>
      <c r="N20" s="2012"/>
      <c r="O20" s="2021"/>
      <c r="P20" s="3517"/>
      <c r="Q20" s="1504"/>
      <c r="R20" s="1505"/>
      <c r="S20" s="1506"/>
      <c r="T20" s="1505"/>
      <c r="U20" s="1506"/>
      <c r="V20" s="1505"/>
      <c r="W20" s="1506"/>
      <c r="X20" s="1499"/>
      <c r="Y20" s="3517"/>
      <c r="Z20" s="1507"/>
      <c r="AA20" s="1508">
        <v>1</v>
      </c>
      <c r="AB20" s="1508">
        <v>1</v>
      </c>
      <c r="AC20" s="1508">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2"/>
      <c r="M21" s="2012"/>
      <c r="N21" s="2012"/>
      <c r="O21" s="2021"/>
      <c r="P21" s="3517"/>
      <c r="Q21" s="1504" t="str">
        <f>B21</f>
        <v>办公集聚程度</v>
      </c>
      <c r="R21" s="1505" t="s">
        <v>8</v>
      </c>
      <c r="S21" s="1506">
        <f>F21</f>
        <v>100</v>
      </c>
      <c r="T21" s="1505" t="s">
        <v>8</v>
      </c>
      <c r="U21" s="1506">
        <f>H21</f>
        <v>100</v>
      </c>
      <c r="V21" s="1505" t="s">
        <v>8</v>
      </c>
      <c r="W21" s="1506">
        <f>J21</f>
        <v>100</v>
      </c>
      <c r="X21" s="1499"/>
      <c r="Y21" s="3517"/>
      <c r="Z21" s="1507" t="str">
        <f>Q21</f>
        <v>办公集聚程度</v>
      </c>
      <c r="AA21" s="1508">
        <f t="shared" si="3"/>
        <v>1</v>
      </c>
      <c r="AB21" s="1508">
        <f t="shared" si="4"/>
        <v>1</v>
      </c>
      <c r="AC21" s="1508">
        <f t="shared" si="5"/>
        <v>1</v>
      </c>
    </row>
    <row r="22" spans="1:29" ht="20.25" hidden="1">
      <c r="A22" s="526"/>
      <c r="B22" s="560"/>
      <c r="C22" s="548"/>
      <c r="D22" s="551"/>
      <c r="E22" s="552"/>
      <c r="F22" s="549"/>
      <c r="G22" s="550"/>
      <c r="H22" s="549"/>
      <c r="I22" s="552"/>
      <c r="J22" s="549"/>
      <c r="K22" s="525"/>
      <c r="L22" s="2022"/>
      <c r="M22" s="2012"/>
      <c r="N22" s="2012"/>
      <c r="O22" s="2021"/>
      <c r="P22" s="3517"/>
      <c r="Q22" s="1504"/>
      <c r="R22" s="1505"/>
      <c r="S22" s="1506"/>
      <c r="T22" s="1505"/>
      <c r="U22" s="1506"/>
      <c r="V22" s="1505"/>
      <c r="W22" s="1506"/>
      <c r="X22" s="1499"/>
      <c r="Y22" s="3517"/>
      <c r="Z22" s="1507"/>
      <c r="AA22" s="1508">
        <v>1</v>
      </c>
      <c r="AB22" s="1508">
        <v>1</v>
      </c>
      <c r="AC22" s="150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2"/>
      <c r="M23" s="2012"/>
      <c r="N23" s="2012"/>
      <c r="O23" s="2021"/>
      <c r="P23" s="3517"/>
      <c r="Q23" s="1504" t="str">
        <f>B23</f>
        <v>交通便捷度</v>
      </c>
      <c r="R23" s="1505" t="s">
        <v>8</v>
      </c>
      <c r="S23" s="1506">
        <f>F23</f>
        <v>100</v>
      </c>
      <c r="T23" s="1505" t="s">
        <v>8</v>
      </c>
      <c r="U23" s="1506">
        <f>H23</f>
        <v>100</v>
      </c>
      <c r="V23" s="1505" t="s">
        <v>8</v>
      </c>
      <c r="W23" s="1506">
        <f>J23</f>
        <v>100</v>
      </c>
      <c r="X23" s="1499"/>
      <c r="Y23" s="3517"/>
      <c r="Z23" s="1507" t="str">
        <f>Q23</f>
        <v>交通便捷度</v>
      </c>
      <c r="AA23" s="1508">
        <f t="shared" si="3"/>
        <v>1</v>
      </c>
      <c r="AB23" s="1508">
        <f t="shared" si="4"/>
        <v>1</v>
      </c>
      <c r="AC23" s="1508">
        <f t="shared" si="5"/>
        <v>1</v>
      </c>
    </row>
    <row r="24" spans="1:29" ht="20.25">
      <c r="A24" s="526"/>
      <c r="B24" s="572"/>
      <c r="C24" s="548" t="s">
        <v>3080</v>
      </c>
      <c r="D24" s="551"/>
      <c r="E24" s="548" t="s">
        <v>3080</v>
      </c>
      <c r="F24" s="549"/>
      <c r="G24" s="548" t="s">
        <v>3080</v>
      </c>
      <c r="H24" s="549"/>
      <c r="I24" s="548" t="s">
        <v>3080</v>
      </c>
      <c r="J24" s="549"/>
      <c r="K24" s="525"/>
      <c r="L24" s="2022"/>
      <c r="M24" s="2012"/>
      <c r="N24" s="2012"/>
      <c r="O24" s="2021"/>
      <c r="P24" s="3517"/>
      <c r="Q24" s="1504"/>
      <c r="R24" s="1505"/>
      <c r="S24" s="1506"/>
      <c r="T24" s="1505"/>
      <c r="U24" s="1506"/>
      <c r="V24" s="1505"/>
      <c r="W24" s="1506"/>
      <c r="X24" s="1499"/>
      <c r="Y24" s="3517"/>
      <c r="Z24" s="1507"/>
      <c r="AA24" s="1508">
        <v>1</v>
      </c>
      <c r="AB24" s="1508">
        <v>1</v>
      </c>
      <c r="AC24" s="150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2"/>
      <c r="M25" s="2012"/>
      <c r="N25" s="2012"/>
      <c r="O25" s="2021"/>
      <c r="P25" s="3517"/>
      <c r="Q25" s="1504" t="str">
        <f t="shared" ref="Q25:Q39" si="8">B25</f>
        <v>区域土地利用方向</v>
      </c>
      <c r="R25" s="1505" t="s">
        <v>8</v>
      </c>
      <c r="S25" s="1506">
        <f>F25</f>
        <v>100</v>
      </c>
      <c r="T25" s="1505" t="s">
        <v>8</v>
      </c>
      <c r="U25" s="1506">
        <f>H25</f>
        <v>100</v>
      </c>
      <c r="V25" s="1505" t="s">
        <v>8</v>
      </c>
      <c r="W25" s="1506">
        <f>J25</f>
        <v>100</v>
      </c>
      <c r="X25" s="1499"/>
      <c r="Y25" s="3517"/>
      <c r="Z25" s="1507" t="str">
        <f>Q25</f>
        <v>区域土地利用方向</v>
      </c>
      <c r="AA25" s="1508">
        <f t="shared" si="3"/>
        <v>1</v>
      </c>
      <c r="AB25" s="1508">
        <f t="shared" si="4"/>
        <v>1</v>
      </c>
      <c r="AC25" s="1508">
        <f t="shared" si="5"/>
        <v>1</v>
      </c>
    </row>
    <row r="26" spans="1:29" ht="20.25">
      <c r="A26" s="509"/>
      <c r="B26" s="992"/>
      <c r="C26" s="548" t="s">
        <v>3080</v>
      </c>
      <c r="D26" s="551"/>
      <c r="E26" s="548" t="s">
        <v>3080</v>
      </c>
      <c r="F26" s="549"/>
      <c r="G26" s="548" t="s">
        <v>3080</v>
      </c>
      <c r="H26" s="549"/>
      <c r="I26" s="548" t="s">
        <v>3080</v>
      </c>
      <c r="J26" s="549"/>
      <c r="K26" s="525"/>
      <c r="L26" s="2022"/>
      <c r="M26" s="2012"/>
      <c r="N26" s="2012"/>
      <c r="O26" s="2021"/>
      <c r="P26" s="3517"/>
      <c r="Q26" s="1504"/>
      <c r="R26" s="1505"/>
      <c r="S26" s="1506"/>
      <c r="T26" s="1505"/>
      <c r="U26" s="1506"/>
      <c r="V26" s="1505"/>
      <c r="W26" s="1506"/>
      <c r="X26" s="1499"/>
      <c r="Y26" s="3517"/>
      <c r="Z26" s="1507"/>
      <c r="AA26" s="1508"/>
      <c r="AB26" s="1508"/>
      <c r="AC26" s="150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2"/>
      <c r="M27" s="2012"/>
      <c r="N27" s="2012"/>
      <c r="O27" s="2021"/>
      <c r="P27" s="3517"/>
      <c r="Q27" s="1504" t="str">
        <f t="shared" si="8"/>
        <v>自然及人文环境状况</v>
      </c>
      <c r="R27" s="1505" t="s">
        <v>8</v>
      </c>
      <c r="S27" s="1506">
        <f>F27</f>
        <v>100</v>
      </c>
      <c r="T27" s="1505" t="s">
        <v>8</v>
      </c>
      <c r="U27" s="1506">
        <f>H27</f>
        <v>100</v>
      </c>
      <c r="V27" s="1505" t="s">
        <v>8</v>
      </c>
      <c r="W27" s="1506">
        <f>J27</f>
        <v>100</v>
      </c>
      <c r="X27" s="1499"/>
      <c r="Y27" s="3517"/>
      <c r="Z27" s="1507" t="str">
        <f>Q27</f>
        <v>自然及人文环境状况</v>
      </c>
      <c r="AA27" s="1508">
        <f t="shared" si="3"/>
        <v>1</v>
      </c>
      <c r="AB27" s="1508">
        <f t="shared" si="4"/>
        <v>1</v>
      </c>
      <c r="AC27" s="1508">
        <f t="shared" si="5"/>
        <v>1</v>
      </c>
    </row>
    <row r="28" spans="1:29" ht="20.25">
      <c r="A28" s="509"/>
      <c r="B28" s="560"/>
      <c r="C28" s="548" t="s">
        <v>3113</v>
      </c>
      <c r="D28" s="551"/>
      <c r="E28" s="548" t="s">
        <v>3113</v>
      </c>
      <c r="F28" s="549"/>
      <c r="G28" s="548" t="s">
        <v>3113</v>
      </c>
      <c r="H28" s="549"/>
      <c r="I28" s="548" t="s">
        <v>3113</v>
      </c>
      <c r="J28" s="549"/>
      <c r="K28" s="525"/>
      <c r="L28" s="2022"/>
      <c r="M28" s="2012"/>
      <c r="N28" s="2012"/>
      <c r="O28" s="2021"/>
      <c r="P28" s="3517"/>
      <c r="Q28" s="1504"/>
      <c r="R28" s="1505"/>
      <c r="S28" s="1506"/>
      <c r="T28" s="1505"/>
      <c r="U28" s="1506"/>
      <c r="V28" s="1505"/>
      <c r="W28" s="1506"/>
      <c r="X28" s="1499"/>
      <c r="Y28" s="3517"/>
      <c r="Z28" s="1507"/>
      <c r="AA28" s="1508">
        <v>1</v>
      </c>
      <c r="AB28" s="1508">
        <v>1</v>
      </c>
      <c r="AC28" s="1508">
        <v>1</v>
      </c>
    </row>
    <row r="29" spans="1:29" s="1201" customFormat="1" ht="42.75">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5"/>
      <c r="M29" s="2012"/>
      <c r="N29" s="2012"/>
      <c r="O29" s="2017"/>
      <c r="P29" s="3517"/>
      <c r="Q29" s="1132" t="str">
        <f t="shared" si="8"/>
        <v>公共配套设施</v>
      </c>
      <c r="R29" s="1500" t="s">
        <v>8</v>
      </c>
      <c r="S29" s="1501">
        <f>F29</f>
        <v>100</v>
      </c>
      <c r="T29" s="1500" t="s">
        <v>8</v>
      </c>
      <c r="U29" s="1501">
        <f>H29</f>
        <v>100</v>
      </c>
      <c r="V29" s="1500" t="s">
        <v>8</v>
      </c>
      <c r="W29" s="1501">
        <f>J29</f>
        <v>100</v>
      </c>
      <c r="X29" s="1502"/>
      <c r="Y29" s="3517"/>
      <c r="Z29" s="1131" t="str">
        <f>Q29</f>
        <v>公共配套设施</v>
      </c>
      <c r="AA29" s="1508">
        <f>D29/F29</f>
        <v>1</v>
      </c>
      <c r="AB29" s="1508">
        <f>D29/H29</f>
        <v>1</v>
      </c>
      <c r="AC29" s="1508">
        <f>D29/J29</f>
        <v>1</v>
      </c>
    </row>
    <row r="30" spans="1:29" s="1201" customFormat="1" ht="20.25">
      <c r="A30" s="571"/>
      <c r="B30" s="560"/>
      <c r="C30" s="573" t="s">
        <v>3080</v>
      </c>
      <c r="D30" s="551"/>
      <c r="E30" s="573" t="s">
        <v>3080</v>
      </c>
      <c r="F30" s="549"/>
      <c r="G30" s="573" t="s">
        <v>3080</v>
      </c>
      <c r="H30" s="549"/>
      <c r="I30" s="573" t="s">
        <v>3080</v>
      </c>
      <c r="J30" s="549"/>
      <c r="K30" s="525"/>
      <c r="L30" s="2015"/>
      <c r="M30" s="2012"/>
      <c r="N30" s="2012"/>
      <c r="O30" s="2017"/>
      <c r="P30" s="3517"/>
      <c r="Q30" s="1132"/>
      <c r="R30" s="1500"/>
      <c r="S30" s="1501"/>
      <c r="T30" s="1500"/>
      <c r="U30" s="1501"/>
      <c r="V30" s="1500"/>
      <c r="W30" s="1501"/>
      <c r="X30" s="1502"/>
      <c r="Y30" s="3517"/>
      <c r="Z30" s="1131"/>
      <c r="AA30" s="1508">
        <v>1</v>
      </c>
      <c r="AB30" s="1508">
        <v>1</v>
      </c>
      <c r="AC30" s="1508">
        <v>1</v>
      </c>
    </row>
    <row r="31" spans="1:29" s="1201"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5"/>
      <c r="M31" s="2012"/>
      <c r="N31" s="2012"/>
      <c r="O31" s="2017"/>
      <c r="P31" s="3517"/>
      <c r="Q31" s="2426" t="str">
        <f t="shared" ref="Q31" si="9">B31</f>
        <v>基础设施水平</v>
      </c>
      <c r="R31" s="1500" t="s">
        <v>8</v>
      </c>
      <c r="S31" s="1501">
        <f>F31</f>
        <v>100</v>
      </c>
      <c r="T31" s="1500" t="s">
        <v>8</v>
      </c>
      <c r="U31" s="1501">
        <f>H31</f>
        <v>100</v>
      </c>
      <c r="V31" s="1500" t="s">
        <v>8</v>
      </c>
      <c r="W31" s="1501">
        <f>J31</f>
        <v>100</v>
      </c>
      <c r="X31" s="1502"/>
      <c r="Y31" s="3517"/>
      <c r="Z31" s="2425" t="str">
        <f>Q31</f>
        <v>基础设施水平</v>
      </c>
      <c r="AA31" s="1508">
        <f>D31/F31</f>
        <v>1</v>
      </c>
      <c r="AB31" s="1508">
        <f>D31/H31</f>
        <v>1</v>
      </c>
      <c r="AC31" s="1508">
        <f>D31/J31</f>
        <v>1</v>
      </c>
    </row>
    <row r="32" spans="1:29" s="1201" customFormat="1" ht="21" thickBot="1">
      <c r="A32" s="571"/>
      <c r="B32" s="560"/>
      <c r="C32" s="573" t="s">
        <v>3103</v>
      </c>
      <c r="D32" s="551"/>
      <c r="E32" s="573" t="s">
        <v>3103</v>
      </c>
      <c r="F32" s="549"/>
      <c r="G32" s="573" t="s">
        <v>3103</v>
      </c>
      <c r="H32" s="549"/>
      <c r="I32" s="573" t="s">
        <v>3103</v>
      </c>
      <c r="J32" s="549"/>
      <c r="K32" s="525"/>
      <c r="L32" s="2015"/>
      <c r="M32" s="2012"/>
      <c r="N32" s="2012"/>
      <c r="O32" s="2017"/>
      <c r="P32" s="3517"/>
      <c r="Q32" s="2426"/>
      <c r="R32" s="1500"/>
      <c r="S32" s="1501"/>
      <c r="T32" s="1500"/>
      <c r="U32" s="1501"/>
      <c r="V32" s="1500"/>
      <c r="W32" s="1501"/>
      <c r="X32" s="1502"/>
      <c r="Y32" s="3517"/>
      <c r="Z32" s="2425"/>
      <c r="AA32" s="1508">
        <v>1</v>
      </c>
      <c r="AB32" s="1508">
        <v>1</v>
      </c>
      <c r="AC32" s="1508">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517"/>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17"/>
      <c r="Z33" s="1507" t="str">
        <f t="shared" ref="Z33:Z47" si="13">Q33</f>
        <v>临街状况</v>
      </c>
      <c r="AA33" s="1508">
        <f t="shared" si="3"/>
        <v>1</v>
      </c>
      <c r="AB33" s="1508">
        <f t="shared" si="4"/>
        <v>1</v>
      </c>
      <c r="AC33" s="1508">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2"/>
      <c r="M34" s="2012"/>
      <c r="N34" s="2012"/>
      <c r="O34" s="2021"/>
      <c r="P34" s="3517"/>
      <c r="Q34" s="1504" t="str">
        <f t="shared" si="8"/>
        <v>毗邻道路的类型与等级</v>
      </c>
      <c r="R34" s="1505" t="s">
        <v>8</v>
      </c>
      <c r="S34" s="1506">
        <f t="shared" si="10"/>
        <v>100</v>
      </c>
      <c r="T34" s="1505" t="s">
        <v>8</v>
      </c>
      <c r="U34" s="1506">
        <f t="shared" si="11"/>
        <v>100</v>
      </c>
      <c r="V34" s="1505" t="s">
        <v>8</v>
      </c>
      <c r="W34" s="1506">
        <f t="shared" si="12"/>
        <v>100</v>
      </c>
      <c r="X34" s="1499"/>
      <c r="Y34" s="3517"/>
      <c r="Z34" s="1507" t="str">
        <f t="shared" si="13"/>
        <v>毗邻道路的类型与等级</v>
      </c>
      <c r="AA34" s="1508">
        <f t="shared" si="3"/>
        <v>1</v>
      </c>
      <c r="AB34" s="1508">
        <f t="shared" si="4"/>
        <v>1</v>
      </c>
      <c r="AC34" s="1508">
        <f t="shared" si="5"/>
        <v>1</v>
      </c>
    </row>
    <row r="35" spans="1:29" ht="20.25" hidden="1">
      <c r="A35" s="526"/>
      <c r="B35" s="560"/>
      <c r="C35" s="548"/>
      <c r="D35" s="551"/>
      <c r="E35" s="570"/>
      <c r="F35" s="549"/>
      <c r="G35" s="548"/>
      <c r="H35" s="549"/>
      <c r="I35" s="570"/>
      <c r="J35" s="549"/>
      <c r="K35" s="575"/>
      <c r="L35" s="2022"/>
      <c r="M35" s="2012"/>
      <c r="N35" s="2012"/>
      <c r="O35" s="2021"/>
      <c r="P35" s="3517"/>
      <c r="Q35" s="1504"/>
      <c r="R35" s="1505"/>
      <c r="S35" s="1506"/>
      <c r="T35" s="1505"/>
      <c r="U35" s="1506"/>
      <c r="V35" s="1505"/>
      <c r="W35" s="1506"/>
      <c r="X35" s="1499"/>
      <c r="Y35" s="3517"/>
      <c r="Z35" s="1507"/>
      <c r="AA35" s="1508">
        <v>1</v>
      </c>
      <c r="AB35" s="1508">
        <v>1</v>
      </c>
      <c r="AC35" s="1508">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517"/>
      <c r="Q36" s="1504" t="str">
        <f t="shared" si="8"/>
        <v>土地级别</v>
      </c>
      <c r="R36" s="1505" t="s">
        <v>8</v>
      </c>
      <c r="S36" s="1506">
        <f t="shared" si="10"/>
        <v>100</v>
      </c>
      <c r="T36" s="1505" t="s">
        <v>8</v>
      </c>
      <c r="U36" s="1506">
        <f t="shared" si="11"/>
        <v>100</v>
      </c>
      <c r="V36" s="1505" t="s">
        <v>8</v>
      </c>
      <c r="W36" s="1506">
        <f t="shared" si="12"/>
        <v>100</v>
      </c>
      <c r="X36" s="1499"/>
      <c r="Y36" s="3517"/>
      <c r="Z36" s="1507" t="str">
        <f t="shared" si="13"/>
        <v>土地级别</v>
      </c>
      <c r="AA36" s="1508">
        <f t="shared" si="3"/>
        <v>1</v>
      </c>
      <c r="AB36" s="1508">
        <f t="shared" si="4"/>
        <v>1</v>
      </c>
      <c r="AC36" s="150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517"/>
      <c r="Q37" s="1504">
        <f t="shared" si="8"/>
        <v>111</v>
      </c>
      <c r="R37" s="1505" t="s">
        <v>8</v>
      </c>
      <c r="S37" s="1506">
        <f t="shared" si="10"/>
        <v>100</v>
      </c>
      <c r="T37" s="1505" t="s">
        <v>8</v>
      </c>
      <c r="U37" s="1506">
        <f t="shared" si="11"/>
        <v>100</v>
      </c>
      <c r="V37" s="1505" t="s">
        <v>8</v>
      </c>
      <c r="W37" s="1506">
        <f t="shared" si="12"/>
        <v>100</v>
      </c>
      <c r="X37" s="1499"/>
      <c r="Y37" s="3517"/>
      <c r="Z37" s="1507">
        <f t="shared" si="13"/>
        <v>111</v>
      </c>
      <c r="AA37" s="1508">
        <f t="shared" si="3"/>
        <v>1</v>
      </c>
      <c r="AB37" s="1508">
        <f t="shared" si="4"/>
        <v>1</v>
      </c>
      <c r="AC37" s="150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518" t="s">
        <v>544</v>
      </c>
      <c r="Q38" s="1504">
        <f t="shared" si="8"/>
        <v>111</v>
      </c>
      <c r="R38" s="1505" t="s">
        <v>8</v>
      </c>
      <c r="S38" s="1506">
        <f t="shared" si="10"/>
        <v>100</v>
      </c>
      <c r="T38" s="1505" t="s">
        <v>8</v>
      </c>
      <c r="U38" s="1506">
        <f t="shared" si="11"/>
        <v>100</v>
      </c>
      <c r="V38" s="1505" t="s">
        <v>8</v>
      </c>
      <c r="W38" s="1506">
        <f t="shared" si="12"/>
        <v>100</v>
      </c>
      <c r="X38" s="1499"/>
      <c r="Y38" s="3519" t="s">
        <v>544</v>
      </c>
      <c r="Z38" s="1507">
        <f t="shared" si="13"/>
        <v>111</v>
      </c>
      <c r="AA38" s="1508">
        <f t="shared" si="3"/>
        <v>1</v>
      </c>
      <c r="AB38" s="1508">
        <f t="shared" si="4"/>
        <v>1</v>
      </c>
      <c r="AC38" s="1508">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519"/>
      <c r="Q39" s="1504">
        <f t="shared" si="8"/>
        <v>111</v>
      </c>
      <c r="R39" s="1509" t="s">
        <v>8</v>
      </c>
      <c r="S39" s="1510">
        <f t="shared" si="10"/>
        <v>100</v>
      </c>
      <c r="T39" s="1509" t="s">
        <v>8</v>
      </c>
      <c r="U39" s="1510">
        <f t="shared" si="11"/>
        <v>100</v>
      </c>
      <c r="V39" s="1509" t="s">
        <v>8</v>
      </c>
      <c r="W39" s="1510">
        <f t="shared" si="12"/>
        <v>100</v>
      </c>
      <c r="X39" s="1511"/>
      <c r="Y39" s="3519"/>
      <c r="Z39" s="1512">
        <f t="shared" si="13"/>
        <v>111</v>
      </c>
      <c r="AA39" s="1508">
        <f t="shared" si="3"/>
        <v>1</v>
      </c>
      <c r="AB39" s="1508">
        <f t="shared" si="4"/>
        <v>1</v>
      </c>
      <c r="AC39" s="1508">
        <f t="shared" si="5"/>
        <v>1</v>
      </c>
    </row>
    <row r="40" spans="1:29" ht="20.25">
      <c r="A40" s="2622" t="s">
        <v>2735</v>
      </c>
      <c r="B40" s="589" t="s">
        <v>546</v>
      </c>
      <c r="C40" s="590">
        <f>'数据-基础表'!A3</f>
        <v>194740</v>
      </c>
      <c r="D40" s="591">
        <v>100</v>
      </c>
      <c r="E40" s="590">
        <f>Sheet1!D2</f>
        <v>36098</v>
      </c>
      <c r="F40" s="591">
        <f>LOOKUP(E40,119:119,120:120)-LOOKUP(C40,119:119,120:120)+100</f>
        <v>100</v>
      </c>
      <c r="G40" s="590">
        <f>Sheet1!D7</f>
        <v>65445</v>
      </c>
      <c r="H40" s="591">
        <f>LOOKUP(G40,119:119,120:120)-LOOKUP(C40,119:119,120:120)+100</f>
        <v>100</v>
      </c>
      <c r="I40" s="592">
        <f>Sheet1!D14</f>
        <v>18898</v>
      </c>
      <c r="J40" s="591">
        <f>LOOKUP(I40,119:119,120:120)-LOOKUP(C40,119:119,120:120)+100</f>
        <v>100</v>
      </c>
      <c r="K40" s="575"/>
      <c r="L40" s="2022"/>
      <c r="M40" s="2012"/>
      <c r="N40" s="2012"/>
      <c r="O40" s="2021"/>
      <c r="P40" s="3519"/>
      <c r="Q40" s="1504" t="str">
        <f>B40</f>
        <v>宗地面积</v>
      </c>
      <c r="R40" s="1505" t="s">
        <v>8</v>
      </c>
      <c r="S40" s="1506">
        <f t="shared" si="10"/>
        <v>100</v>
      </c>
      <c r="T40" s="1505" t="s">
        <v>8</v>
      </c>
      <c r="U40" s="1506">
        <f t="shared" si="11"/>
        <v>100</v>
      </c>
      <c r="V40" s="1505" t="s">
        <v>8</v>
      </c>
      <c r="W40" s="1506">
        <f t="shared" si="12"/>
        <v>100</v>
      </c>
      <c r="X40" s="1499"/>
      <c r="Y40" s="3519"/>
      <c r="Z40" s="1507" t="str">
        <f t="shared" si="13"/>
        <v>宗地面积</v>
      </c>
      <c r="AA40" s="1508">
        <f t="shared" si="3"/>
        <v>1</v>
      </c>
      <c r="AB40" s="1508">
        <f t="shared" si="4"/>
        <v>1</v>
      </c>
      <c r="AC40" s="1508">
        <f t="shared" si="5"/>
        <v>1</v>
      </c>
    </row>
    <row r="41" spans="1:29" ht="20.25">
      <c r="A41" s="588"/>
      <c r="B41" s="521" t="s">
        <v>547</v>
      </c>
      <c r="C41" s="593" t="s">
        <v>3125</v>
      </c>
      <c r="D41" s="534">
        <v>100</v>
      </c>
      <c r="E41" s="593" t="s">
        <v>3125</v>
      </c>
      <c r="F41" s="534">
        <f>SUMIF(121:121,E41,122:122)-SUMIF(121:121,C41,122:122)+100</f>
        <v>100</v>
      </c>
      <c r="G41" s="593" t="s">
        <v>3125</v>
      </c>
      <c r="H41" s="534">
        <f>SUMIF(121:121,G41,122:122)-SUMIF(121:121,C41,122:122)+100</f>
        <v>100</v>
      </c>
      <c r="I41" s="593" t="s">
        <v>3125</v>
      </c>
      <c r="J41" s="534">
        <f>SUMIF(121:121,I41,122:122)-SUMIF(121:121,C41,122:122)+100</f>
        <v>100</v>
      </c>
      <c r="K41" s="578"/>
      <c r="L41" s="2022"/>
      <c r="M41" s="2012"/>
      <c r="N41" s="2012"/>
      <c r="O41" s="2021"/>
      <c r="P41" s="3519"/>
      <c r="Q41" s="1504" t="str">
        <f t="shared" ref="Q41:Q47" si="14">B41</f>
        <v>宗地形状</v>
      </c>
      <c r="R41" s="1505" t="s">
        <v>8</v>
      </c>
      <c r="S41" s="1506">
        <f t="shared" si="10"/>
        <v>100</v>
      </c>
      <c r="T41" s="1505" t="s">
        <v>8</v>
      </c>
      <c r="U41" s="1506">
        <f t="shared" si="11"/>
        <v>100</v>
      </c>
      <c r="V41" s="1505" t="s">
        <v>8</v>
      </c>
      <c r="W41" s="1506">
        <f t="shared" si="12"/>
        <v>100</v>
      </c>
      <c r="X41" s="1499"/>
      <c r="Y41" s="3519"/>
      <c r="Z41" s="1507" t="str">
        <f t="shared" si="13"/>
        <v>宗地形状</v>
      </c>
      <c r="AA41" s="1508">
        <f t="shared" si="3"/>
        <v>1</v>
      </c>
      <c r="AB41" s="1508">
        <f t="shared" si="4"/>
        <v>1</v>
      </c>
      <c r="AC41" s="1508">
        <f t="shared" si="5"/>
        <v>1</v>
      </c>
    </row>
    <row r="42" spans="1:29" ht="20.25">
      <c r="A42" s="588"/>
      <c r="B42" s="521" t="s">
        <v>548</v>
      </c>
      <c r="C42" s="593" t="s">
        <v>3129</v>
      </c>
      <c r="D42" s="534">
        <v>100</v>
      </c>
      <c r="E42" s="593" t="s">
        <v>3129</v>
      </c>
      <c r="F42" s="534">
        <f>SUMIF(123:123,E42,124:124)-SUMIF(123:123,C42,124:124)+100</f>
        <v>100</v>
      </c>
      <c r="G42" s="593" t="s">
        <v>3129</v>
      </c>
      <c r="H42" s="534">
        <f>SUMIF(123:123,G42,124:124)-SUMIF(123:123,C42,124:124)+100</f>
        <v>100</v>
      </c>
      <c r="I42" s="593" t="s">
        <v>3129</v>
      </c>
      <c r="J42" s="534">
        <f>SUMIF(123:123,I42,124:124)-SUMIF(123:123,C42,124:124)+100</f>
        <v>100</v>
      </c>
      <c r="K42" s="578"/>
      <c r="L42" s="2022"/>
      <c r="M42" s="2012"/>
      <c r="N42" s="2012"/>
      <c r="O42" s="2021"/>
      <c r="P42" s="3519"/>
      <c r="Q42" s="1504" t="str">
        <f t="shared" si="14"/>
        <v>临街宽度及深度</v>
      </c>
      <c r="R42" s="1505" t="s">
        <v>8</v>
      </c>
      <c r="S42" s="1506">
        <f t="shared" si="10"/>
        <v>100</v>
      </c>
      <c r="T42" s="1505" t="s">
        <v>8</v>
      </c>
      <c r="U42" s="1506">
        <f t="shared" si="11"/>
        <v>100</v>
      </c>
      <c r="V42" s="1505" t="s">
        <v>8</v>
      </c>
      <c r="W42" s="1506">
        <f t="shared" si="12"/>
        <v>100</v>
      </c>
      <c r="X42" s="1499"/>
      <c r="Y42" s="3519"/>
      <c r="Z42" s="1507" t="str">
        <f t="shared" si="13"/>
        <v>临街宽度及深度</v>
      </c>
      <c r="AA42" s="1508">
        <f t="shared" si="3"/>
        <v>1</v>
      </c>
      <c r="AB42" s="1508">
        <f t="shared" si="4"/>
        <v>1</v>
      </c>
      <c r="AC42" s="1508">
        <f t="shared" si="5"/>
        <v>1</v>
      </c>
    </row>
    <row r="43" spans="1:29" s="1201" customFormat="1" ht="20.25">
      <c r="A43" s="594"/>
      <c r="B43" s="1807" t="s">
        <v>2409</v>
      </c>
      <c r="C43" s="595" t="s">
        <v>3103</v>
      </c>
      <c r="D43" s="253">
        <v>100</v>
      </c>
      <c r="E43" s="595" t="s">
        <v>3103</v>
      </c>
      <c r="F43" s="534">
        <f>SUMIF(125:125,E43,126:126)-SUMIF(125:125,C43,126:126)+100</f>
        <v>100</v>
      </c>
      <c r="G43" s="595" t="s">
        <v>3103</v>
      </c>
      <c r="H43" s="534">
        <f>SUMIF(125:125,G43,126:126)-SUMIF(125:125,C43,126:126)+100</f>
        <v>100</v>
      </c>
      <c r="I43" s="595" t="s">
        <v>3103</v>
      </c>
      <c r="J43" s="534">
        <f>SUMIF(125:125,I43,126:126)-SUMIF(125:125,C43,126:126)+100</f>
        <v>100</v>
      </c>
      <c r="K43" s="578"/>
      <c r="L43" s="2015"/>
      <c r="M43" s="2012"/>
      <c r="N43" s="2012"/>
      <c r="O43" s="2017"/>
      <c r="P43" s="3519"/>
      <c r="Q43" s="1504" t="str">
        <f t="shared" si="14"/>
        <v>宗地开发程度</v>
      </c>
      <c r="R43" s="1500" t="s">
        <v>8</v>
      </c>
      <c r="S43" s="1501">
        <f t="shared" si="10"/>
        <v>100</v>
      </c>
      <c r="T43" s="1500" t="s">
        <v>8</v>
      </c>
      <c r="U43" s="1501">
        <f t="shared" si="11"/>
        <v>100</v>
      </c>
      <c r="V43" s="1500" t="s">
        <v>8</v>
      </c>
      <c r="W43" s="1501">
        <f t="shared" si="12"/>
        <v>100</v>
      </c>
      <c r="X43" s="1502"/>
      <c r="Y43" s="3519"/>
      <c r="Z43" s="1131" t="str">
        <f t="shared" si="13"/>
        <v>宗地开发程度</v>
      </c>
      <c r="AA43" s="1503">
        <f t="shared" si="3"/>
        <v>1</v>
      </c>
      <c r="AB43" s="1503">
        <f t="shared" si="4"/>
        <v>1</v>
      </c>
      <c r="AC43" s="1503">
        <f t="shared" si="5"/>
        <v>1</v>
      </c>
    </row>
    <row r="44" spans="1:29" ht="20.25">
      <c r="A44" s="588"/>
      <c r="B44" s="521" t="s">
        <v>549</v>
      </c>
      <c r="C44" s="593" t="s">
        <v>3113</v>
      </c>
      <c r="D44" s="534">
        <v>100</v>
      </c>
      <c r="E44" s="593" t="s">
        <v>3113</v>
      </c>
      <c r="F44" s="534">
        <f>SUMIF(127:127,E44,128:128)-SUMIF(127:127,C44,128:128)+100</f>
        <v>100</v>
      </c>
      <c r="G44" s="593" t="s">
        <v>3113</v>
      </c>
      <c r="H44" s="534">
        <f>SUMIF(127:127,G44,128:128)-SUMIF(127:127,C44,128:128)+100</f>
        <v>100</v>
      </c>
      <c r="I44" s="593" t="s">
        <v>3113</v>
      </c>
      <c r="J44" s="534">
        <f>SUMIF(127:127,I44,128:128)-SUMIF(127:127,C44,128:128)+100</f>
        <v>100</v>
      </c>
      <c r="K44" s="578"/>
      <c r="L44" s="2022"/>
      <c r="M44" s="2012"/>
      <c r="N44" s="2012"/>
      <c r="O44" s="2021"/>
      <c r="P44" s="3519" t="s">
        <v>544</v>
      </c>
      <c r="Q44" s="1504" t="str">
        <f t="shared" si="14"/>
        <v>工程地质条件</v>
      </c>
      <c r="R44" s="1505" t="s">
        <v>8</v>
      </c>
      <c r="S44" s="1506">
        <f t="shared" si="10"/>
        <v>100</v>
      </c>
      <c r="T44" s="1505" t="s">
        <v>8</v>
      </c>
      <c r="U44" s="1506">
        <f t="shared" si="11"/>
        <v>100</v>
      </c>
      <c r="V44" s="1505" t="s">
        <v>8</v>
      </c>
      <c r="W44" s="1506">
        <f t="shared" si="12"/>
        <v>100</v>
      </c>
      <c r="X44" s="1499"/>
      <c r="Y44" s="3519" t="s">
        <v>544</v>
      </c>
      <c r="Z44" s="1507" t="str">
        <f t="shared" si="13"/>
        <v>工程地质条件</v>
      </c>
      <c r="AA44" s="1508">
        <f t="shared" si="3"/>
        <v>1</v>
      </c>
      <c r="AB44" s="1508">
        <f t="shared" si="4"/>
        <v>1</v>
      </c>
      <c r="AC44" s="1508">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519"/>
      <c r="Q45" s="1504">
        <f t="shared" si="14"/>
        <v>111</v>
      </c>
      <c r="R45" s="1505" t="s">
        <v>8</v>
      </c>
      <c r="S45" s="1506">
        <f t="shared" si="10"/>
        <v>100</v>
      </c>
      <c r="T45" s="1505" t="s">
        <v>8</v>
      </c>
      <c r="U45" s="1506">
        <f t="shared" si="11"/>
        <v>100</v>
      </c>
      <c r="V45" s="1505" t="s">
        <v>8</v>
      </c>
      <c r="W45" s="1506">
        <f t="shared" si="12"/>
        <v>100</v>
      </c>
      <c r="X45" s="1499"/>
      <c r="Y45" s="3519"/>
      <c r="Z45" s="1507">
        <f t="shared" si="13"/>
        <v>111</v>
      </c>
      <c r="AA45" s="1508">
        <f t="shared" si="3"/>
        <v>1</v>
      </c>
      <c r="AB45" s="1508">
        <f t="shared" si="4"/>
        <v>1</v>
      </c>
      <c r="AC45" s="1508">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519"/>
      <c r="Q46" s="1504">
        <f t="shared" si="14"/>
        <v>111</v>
      </c>
      <c r="R46" s="1505" t="s">
        <v>8</v>
      </c>
      <c r="S46" s="1506">
        <f t="shared" si="10"/>
        <v>100</v>
      </c>
      <c r="T46" s="1505" t="s">
        <v>8</v>
      </c>
      <c r="U46" s="1506">
        <f t="shared" si="11"/>
        <v>100</v>
      </c>
      <c r="V46" s="1505" t="s">
        <v>8</v>
      </c>
      <c r="W46" s="1506">
        <f t="shared" si="12"/>
        <v>100</v>
      </c>
      <c r="X46" s="1499"/>
      <c r="Y46" s="3519"/>
      <c r="Z46" s="1507">
        <f t="shared" si="13"/>
        <v>111</v>
      </c>
      <c r="AA46" s="1508">
        <f t="shared" si="3"/>
        <v>1</v>
      </c>
      <c r="AB46" s="1508">
        <f t="shared" si="4"/>
        <v>1</v>
      </c>
      <c r="AC46" s="1508">
        <f t="shared" si="5"/>
        <v>1</v>
      </c>
    </row>
    <row r="47" spans="1:29" s="1291"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519"/>
      <c r="Q47" s="1504">
        <f t="shared" si="14"/>
        <v>111</v>
      </c>
      <c r="R47" s="1509" t="s">
        <v>8</v>
      </c>
      <c r="S47" s="1510">
        <f t="shared" si="10"/>
        <v>100</v>
      </c>
      <c r="T47" s="1509" t="s">
        <v>8</v>
      </c>
      <c r="U47" s="1510">
        <f t="shared" si="11"/>
        <v>100</v>
      </c>
      <c r="V47" s="1509" t="s">
        <v>8</v>
      </c>
      <c r="W47" s="1510">
        <f t="shared" si="12"/>
        <v>100</v>
      </c>
      <c r="X47" s="1511"/>
      <c r="Y47" s="3519"/>
      <c r="Z47" s="1512">
        <f t="shared" si="13"/>
        <v>111</v>
      </c>
      <c r="AA47" s="1508">
        <f t="shared" si="3"/>
        <v>1</v>
      </c>
      <c r="AB47" s="1508">
        <f t="shared" si="4"/>
        <v>1</v>
      </c>
      <c r="AC47" s="1508">
        <f t="shared" si="5"/>
        <v>1</v>
      </c>
    </row>
    <row r="48" spans="1:29" ht="20.25">
      <c r="A48" s="601" t="s">
        <v>550</v>
      </c>
      <c r="B48" s="602" t="s">
        <v>3072</v>
      </c>
      <c r="C48" s="603" t="s">
        <v>1</v>
      </c>
      <c r="D48" s="604"/>
      <c r="E48" s="605">
        <f>Sheet1!M2</f>
        <v>825</v>
      </c>
      <c r="F48" s="606"/>
      <c r="G48" s="607">
        <f>Sheet1!M7</f>
        <v>825</v>
      </c>
      <c r="H48" s="608"/>
      <c r="I48" s="605">
        <f>ROUND(Sheet1!M14,0)</f>
        <v>902</v>
      </c>
      <c r="J48" s="608"/>
      <c r="K48" s="1292"/>
      <c r="L48" s="2024"/>
      <c r="M48" s="2012"/>
      <c r="N48" s="2012"/>
      <c r="O48" s="2025"/>
      <c r="P48" s="3482" t="str">
        <f>A48</f>
        <v>成交单价</v>
      </c>
      <c r="Q48" s="3482"/>
      <c r="R48" s="3483">
        <f>E48</f>
        <v>825</v>
      </c>
      <c r="S48" s="3483"/>
      <c r="T48" s="3483">
        <f>G48</f>
        <v>825</v>
      </c>
      <c r="U48" s="3483"/>
      <c r="V48" s="3483">
        <f>I48</f>
        <v>902</v>
      </c>
      <c r="W48" s="3483"/>
      <c r="X48" s="1494"/>
      <c r="Y48" s="1513"/>
      <c r="Z48" s="1494"/>
      <c r="AA48" s="1494"/>
      <c r="AB48" s="1494"/>
      <c r="AC48" s="1494"/>
    </row>
    <row r="49" spans="1:29" ht="21" thickBot="1">
      <c r="A49" s="609" t="s">
        <v>2673</v>
      </c>
      <c r="B49" s="610"/>
      <c r="C49" s="611">
        <f>R50</f>
        <v>1078</v>
      </c>
      <c r="D49" s="3010" t="s">
        <v>2960</v>
      </c>
      <c r="E49" s="611">
        <f>R49</f>
        <v>1042</v>
      </c>
      <c r="F49" s="3011"/>
      <c r="G49" s="612">
        <f>T49</f>
        <v>1042</v>
      </c>
      <c r="H49" s="3011"/>
      <c r="I49" s="611">
        <f>V49</f>
        <v>1151</v>
      </c>
      <c r="J49" s="3011"/>
      <c r="K49" s="3012">
        <f>F49+H49+J49</f>
        <v>0</v>
      </c>
      <c r="L49" s="2024"/>
      <c r="M49" s="2012"/>
      <c r="N49" s="2012"/>
      <c r="O49" s="2025"/>
      <c r="P49" s="3482" t="str">
        <f>A49</f>
        <v>比较价格（元/平方米）</v>
      </c>
      <c r="Q49" s="3482"/>
      <c r="R49" s="3484">
        <f>ROUND(PRODUCT(R48,AA9:AA47),0)</f>
        <v>1042</v>
      </c>
      <c r="S49" s="3484"/>
      <c r="T49" s="3484">
        <f>ROUND(PRODUCT(T48,AB9:AB47),0)</f>
        <v>1042</v>
      </c>
      <c r="U49" s="3484"/>
      <c r="V49" s="3484">
        <f>ROUND(PRODUCT(V48,AC9:AC47),0)</f>
        <v>1151</v>
      </c>
      <c r="W49" s="3484"/>
      <c r="X49" s="1494"/>
      <c r="Y49" s="1494"/>
      <c r="Z49" s="1494"/>
      <c r="AA49" s="1494"/>
      <c r="AB49" s="1494"/>
      <c r="AC49" s="1494"/>
    </row>
    <row r="50" spans="1:29" ht="21" thickBot="1">
      <c r="A50" s="613" t="s">
        <v>2892</v>
      </c>
      <c r="B50" s="614"/>
      <c r="C50" s="615">
        <f>R50</f>
        <v>1078</v>
      </c>
      <c r="D50" s="615"/>
      <c r="E50" s="615"/>
      <c r="F50" s="615"/>
      <c r="G50" s="615"/>
      <c r="H50" s="615"/>
      <c r="I50" s="615"/>
      <c r="J50" s="615"/>
      <c r="K50" s="1293"/>
      <c r="L50" s="2024"/>
      <c r="M50" s="2012"/>
      <c r="N50" s="2012"/>
      <c r="O50" s="2025"/>
      <c r="P50" s="3479" t="str">
        <f>A50</f>
        <v>估价对象XX用房的比较价格（楼面单价，元/平方米）</v>
      </c>
      <c r="Q50" s="3480"/>
      <c r="R50" s="3481">
        <f>ROUND(IF(D49="简单平均",AVERAGE(R49:W49),R49*F49+T49*H49+V49*J49),0)</f>
        <v>1078</v>
      </c>
      <c r="S50" s="3481"/>
      <c r="T50" s="3481"/>
      <c r="U50" s="3481"/>
      <c r="V50" s="3481"/>
      <c r="W50" s="3481"/>
      <c r="X50" s="1494"/>
      <c r="Y50" s="1494"/>
      <c r="Z50" s="1494"/>
      <c r="AA50" s="1494"/>
      <c r="AB50" s="1494"/>
      <c r="AC50" s="1494"/>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f>IF(E48&lt;E49,E49/E48-1,E48/E49-1)</f>
        <v>0.26303030303030295</v>
      </c>
      <c r="F53" s="619" t="str">
        <f>IF(OR(E53&gt;=0.3,E53&lt;=-0.3),"超过30%","")</f>
        <v/>
      </c>
      <c r="G53" s="618">
        <f>IF(G48&lt;G49,G49/G48-1,G48/G49-1)</f>
        <v>0.26303030303030295</v>
      </c>
      <c r="H53" s="619" t="str">
        <f>IF(OR(G53&gt;=0.3,G53&lt;=-0.3),"超过30%","")</f>
        <v/>
      </c>
      <c r="I53" s="618">
        <f>IF(I48&lt;I49,I49/I48-1,I48/I49-1)</f>
        <v>0.27605321507760539</v>
      </c>
      <c r="J53" s="619"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f>IF(E49&lt;G49,G49/E49-1,E49/G49-1)</f>
        <v>0</v>
      </c>
      <c r="F54" s="619" t="str">
        <f>IF(OR(E54&gt;=0.2,E54&lt;=-0.2),"超过20%","")</f>
        <v/>
      </c>
      <c r="G54" s="618">
        <f>IF(G49&lt;I49,I49/G49-1,G49/I49-1)</f>
        <v>0.10460652591170816</v>
      </c>
      <c r="H54" s="619" t="str">
        <f>IF(OR(G54&gt;=0.2,G54&lt;=-0.2),"超过20%","")</f>
        <v/>
      </c>
      <c r="I54" s="618">
        <f>IF(I49&lt;E49,E49/I49-1,I49/E49-1)</f>
        <v>0.10460652591170816</v>
      </c>
      <c r="J54" s="619"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f>IF(E48&lt;G48,G48/E48-1,E48/G48-1)</f>
        <v>0</v>
      </c>
      <c r="F55" s="619" t="str">
        <f>IF(OR(E55&gt;=0.3,E55&lt;=-0.3),"超过30%","")</f>
        <v/>
      </c>
      <c r="G55" s="618">
        <f>IF(G48&lt;I48,I48/G48-1,G48/I48-1)</f>
        <v>9.3333333333333268E-2</v>
      </c>
      <c r="H55" s="619" t="str">
        <f>IF(OR(G55&gt;=0.3,G55&lt;=-0.3),"超过30%","")</f>
        <v/>
      </c>
      <c r="I55" s="618">
        <f>IF(I48&lt;E48,E48/I48-1,I48/E48-1)</f>
        <v>9.3333333333333268E-2</v>
      </c>
      <c r="J55" s="619"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1715</v>
      </c>
      <c r="D57" s="2105" t="s">
        <v>2281</v>
      </c>
      <c r="E57" s="623" t="s">
        <v>556</v>
      </c>
      <c r="F57" s="624" t="s">
        <v>557</v>
      </c>
      <c r="G57" s="3508" t="s">
        <v>2269</v>
      </c>
      <c r="H57" s="3509"/>
      <c r="I57" s="1491" t="s">
        <v>1713</v>
      </c>
      <c r="J57" s="1491" t="str">
        <f>项目基本情况!F41</f>
        <v>黔南布衣苗族自治州</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5" t="s">
        <v>558</v>
      </c>
      <c r="B58" s="626">
        <f>C50</f>
        <v>1078</v>
      </c>
      <c r="C58" s="627">
        <v>1</v>
      </c>
      <c r="D58" s="2106">
        <v>1</v>
      </c>
      <c r="E58" s="627">
        <f>'数据-汇总表'!E8+'数据-汇总表'!E9</f>
        <v>206901.75</v>
      </c>
      <c r="F58" s="628">
        <f t="shared" ref="F58:F67" si="15">ROUND(B58*E58/10000,0)</f>
        <v>22304</v>
      </c>
      <c r="G58" s="3510"/>
      <c r="H58" s="3511"/>
      <c r="I58" s="1492">
        <v>1</v>
      </c>
      <c r="J58" s="1492">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559</v>
      </c>
      <c r="B59" s="630">
        <f>ROUND($C$50*C59*D59,0)</f>
        <v>0</v>
      </c>
      <c r="C59" s="372">
        <f t="shared" ref="C59:C67" si="16">IF($C$57="北京市系数",I59,J59)</f>
        <v>0</v>
      </c>
      <c r="D59" s="2107">
        <v>0.25</v>
      </c>
      <c r="E59" s="631">
        <v>0</v>
      </c>
      <c r="F59" s="628">
        <f t="shared" si="15"/>
        <v>0</v>
      </c>
      <c r="G59" s="3512" t="s">
        <v>2270</v>
      </c>
      <c r="H59" s="1860">
        <f>项目基本情况!B43</f>
        <v>0</v>
      </c>
      <c r="I59" s="1492">
        <f>SUMIF(修正!$A$45:$A$56,H59,修正!B45:B56)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560</v>
      </c>
      <c r="B60" s="630">
        <f t="shared" ref="B60:B67" si="17">ROUND($C$50*C60*D60,0)</f>
        <v>0</v>
      </c>
      <c r="C60" s="372">
        <f t="shared" si="16"/>
        <v>0</v>
      </c>
      <c r="D60" s="2107">
        <v>0.25</v>
      </c>
      <c r="E60" s="631">
        <v>0</v>
      </c>
      <c r="F60" s="628">
        <f t="shared" si="15"/>
        <v>0</v>
      </c>
      <c r="G60" s="3512"/>
      <c r="H60" s="1860">
        <f>项目基本情况!B43</f>
        <v>0</v>
      </c>
      <c r="I60" s="1492">
        <f>SUMIF(修正!$A$45:$A$56,H60,修正!C45:C56)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561</v>
      </c>
      <c r="B61" s="630">
        <f t="shared" si="17"/>
        <v>0</v>
      </c>
      <c r="C61" s="372">
        <f t="shared" si="16"/>
        <v>0</v>
      </c>
      <c r="D61" s="2107">
        <v>0.25</v>
      </c>
      <c r="E61" s="631">
        <v>0</v>
      </c>
      <c r="F61" s="628">
        <f t="shared" si="15"/>
        <v>0</v>
      </c>
      <c r="G61" s="3512"/>
      <c r="H61" s="1860">
        <f>项目基本情况!B43</f>
        <v>0</v>
      </c>
      <c r="I61" s="1492">
        <f>SUMIF(修正!$A$45:$A$56,H61,修正!D45:D56)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9" t="s">
        <v>562</v>
      </c>
      <c r="B62" s="630">
        <f t="shared" si="17"/>
        <v>0</v>
      </c>
      <c r="C62" s="372">
        <f t="shared" si="16"/>
        <v>0</v>
      </c>
      <c r="D62" s="2107">
        <v>0.25</v>
      </c>
      <c r="E62" s="631">
        <v>0</v>
      </c>
      <c r="F62" s="628">
        <f t="shared" si="15"/>
        <v>0</v>
      </c>
      <c r="G62" s="3512"/>
      <c r="H62" s="1860">
        <f>项目基本情况!B43</f>
        <v>0</v>
      </c>
      <c r="I62" s="1492">
        <f>SUMIF(修正!$A$45:$A$56,H62,修正!E45:E56)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30">
        <f t="shared" si="17"/>
        <v>0</v>
      </c>
      <c r="C63" s="372">
        <f t="shared" si="16"/>
        <v>0</v>
      </c>
      <c r="D63" s="2107">
        <v>0.25</v>
      </c>
      <c r="E63" s="633">
        <f>'数据-汇总表'!E11</f>
        <v>0</v>
      </c>
      <c r="F63" s="628">
        <f t="shared" si="15"/>
        <v>0</v>
      </c>
      <c r="G63" s="1857" t="s">
        <v>2271</v>
      </c>
      <c r="H63" s="1860">
        <f>项目基本情况!C43</f>
        <v>0</v>
      </c>
      <c r="I63" s="1492">
        <f>SUMIF(修正!$A$45:$A$56,H63,修正!F45:F56)</f>
        <v>0</v>
      </c>
      <c r="J63" s="1493"/>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9" t="s">
        <v>563</v>
      </c>
      <c r="B64" s="630">
        <f t="shared" si="17"/>
        <v>0</v>
      </c>
      <c r="C64" s="372">
        <f t="shared" si="16"/>
        <v>0</v>
      </c>
      <c r="D64" s="2107">
        <v>0.25</v>
      </c>
      <c r="E64" s="633">
        <f>'数据-汇总表'!E12</f>
        <v>0</v>
      </c>
      <c r="F64" s="628">
        <f t="shared" si="15"/>
        <v>0</v>
      </c>
      <c r="G64" s="1858" t="s">
        <v>1668</v>
      </c>
      <c r="H64" s="1856">
        <f>IF(G64="商业",项目基本情况!B43,IF(G64="办公",项目基本情况!C43,IF(G64="住宅",项目基本情况!D43,项目基本情况!E43)))</f>
        <v>0</v>
      </c>
      <c r="I64" s="1492">
        <f>SUMIF(修正!$A$45:$A$56,H64,修正!G45:G56)</f>
        <v>0</v>
      </c>
      <c r="J64" s="1493"/>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9" t="s">
        <v>564</v>
      </c>
      <c r="B65" s="630">
        <f t="shared" si="17"/>
        <v>0</v>
      </c>
      <c r="C65" s="372">
        <f t="shared" si="16"/>
        <v>0</v>
      </c>
      <c r="D65" s="2107">
        <v>0.25</v>
      </c>
      <c r="E65" s="633">
        <f>'数据-汇总表'!E13</f>
        <v>117480.11</v>
      </c>
      <c r="F65" s="628">
        <f t="shared" si="15"/>
        <v>0</v>
      </c>
      <c r="G65" s="1858" t="s">
        <v>914</v>
      </c>
      <c r="H65" s="1856">
        <f>IF(G65="商业",项目基本情况!B43,IF(G65="办公",项目基本情况!C43,IF(G65="住宅",项目基本情况!D43,项目基本情况!E43)))</f>
        <v>0</v>
      </c>
      <c r="I65" s="1492">
        <f>SUMIF(修正!$A$45:$A$56,H65,修正!H45:H56)</f>
        <v>0</v>
      </c>
      <c r="J65" s="1493"/>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9" t="s">
        <v>565</v>
      </c>
      <c r="B66" s="630">
        <f t="shared" si="17"/>
        <v>0</v>
      </c>
      <c r="C66" s="372">
        <f t="shared" si="16"/>
        <v>0</v>
      </c>
      <c r="D66" s="2107">
        <v>0.25</v>
      </c>
      <c r="E66" s="633">
        <f>'数据-汇总表'!E14</f>
        <v>0</v>
      </c>
      <c r="F66" s="628">
        <f t="shared" si="15"/>
        <v>0</v>
      </c>
      <c r="G66" s="1857" t="s">
        <v>2270</v>
      </c>
      <c r="H66" s="1860">
        <f>项目基本情况!B43</f>
        <v>0</v>
      </c>
      <c r="I66" s="1492">
        <f>SUMIF(修正!$A$45:$A$56,H66,修正!H45:H56)</f>
        <v>0</v>
      </c>
      <c r="J66" s="1493"/>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9" t="s">
        <v>566</v>
      </c>
      <c r="B67" s="630">
        <f t="shared" si="17"/>
        <v>0</v>
      </c>
      <c r="C67" s="372">
        <f t="shared" si="16"/>
        <v>0</v>
      </c>
      <c r="D67" s="2107">
        <v>0.25</v>
      </c>
      <c r="E67" s="633">
        <f>'数据-汇总表'!E15</f>
        <v>0</v>
      </c>
      <c r="F67" s="628">
        <f t="shared" si="15"/>
        <v>0</v>
      </c>
      <c r="G67" s="1859" t="s">
        <v>2271</v>
      </c>
      <c r="H67" s="1861">
        <f>项目基本情况!C43</f>
        <v>0</v>
      </c>
      <c r="I67" s="1492">
        <f>SUMIF(修正!$A$45:$A$56,H67,修正!H45:H56)</f>
        <v>0</v>
      </c>
      <c r="J67" s="1493"/>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4" t="s">
        <v>567</v>
      </c>
      <c r="B68" s="635" t="s">
        <v>17</v>
      </c>
      <c r="C68" s="635" t="s">
        <v>18</v>
      </c>
      <c r="D68" s="635" t="s">
        <v>2282</v>
      </c>
      <c r="E68" s="635">
        <f>IF(B48="楼面地价",SUM(E58:E67),'数据-汇总表'!D3)</f>
        <v>324381.86</v>
      </c>
      <c r="F68" s="636">
        <f>IF(B48="楼面地价",SUM(F58:F67),ROUND(C50*E68/10000,0))</f>
        <v>22304</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c r="A77" s="656" t="s">
        <v>571</v>
      </c>
      <c r="B77" s="657" t="s">
        <v>528</v>
      </c>
      <c r="C77" s="3296" t="s">
        <v>3122</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7.75"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1"/>
      <c r="B82" s="675"/>
      <c r="C82" s="535">
        <v>0</v>
      </c>
      <c r="D82" s="535">
        <v>0.5</v>
      </c>
      <c r="E82" s="535">
        <v>1</v>
      </c>
      <c r="F82" s="535">
        <v>1.5</v>
      </c>
      <c r="G82" s="535">
        <v>2</v>
      </c>
      <c r="H82" s="535">
        <v>2.5</v>
      </c>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5.75" thickBot="1">
      <c r="A83" s="661"/>
      <c r="B83" s="662"/>
      <c r="C83" s="671">
        <v>100</v>
      </c>
      <c r="D83" s="671">
        <f>IF($B$48="单位面积地价",C83+$K13,C83-$K13)</f>
        <v>90</v>
      </c>
      <c r="E83" s="671">
        <f t="shared" ref="E83:M83" si="22">IF($B$48="单位面积地价",D83+$K13,D83-$K13)</f>
        <v>80</v>
      </c>
      <c r="F83" s="671">
        <f t="shared" si="22"/>
        <v>70</v>
      </c>
      <c r="G83" s="671">
        <f t="shared" si="22"/>
        <v>60</v>
      </c>
      <c r="H83" s="671">
        <f t="shared" si="22"/>
        <v>50</v>
      </c>
      <c r="I83" s="671">
        <f t="shared" si="22"/>
        <v>40</v>
      </c>
      <c r="J83" s="671">
        <f t="shared" si="22"/>
        <v>30</v>
      </c>
      <c r="K83" s="671">
        <f t="shared" si="22"/>
        <v>20</v>
      </c>
      <c r="L83" s="671">
        <f t="shared" si="22"/>
        <v>10</v>
      </c>
      <c r="M83" s="671">
        <f t="shared" si="22"/>
        <v>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5.75"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7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7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7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1"/>
      <c r="B99" s="670"/>
      <c r="C99" s="704">
        <v>100</v>
      </c>
      <c r="D99" s="671">
        <f>C99-$K25</f>
        <v>100</v>
      </c>
      <c r="E99" s="671">
        <f>D99-$K25</f>
        <v>100</v>
      </c>
      <c r="F99" s="671">
        <f>E99-$K25</f>
        <v>100</v>
      </c>
      <c r="G99" s="671">
        <f>F99-$K25</f>
        <v>100</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9"/>
      <c r="B102" s="1808" t="s">
        <v>2529</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1"/>
      <c r="B108" s="665" t="s">
        <v>542</v>
      </c>
      <c r="C108" s="680"/>
      <c r="D108" s="680"/>
      <c r="E108" s="680"/>
      <c r="F108" s="680"/>
      <c r="G108" s="680"/>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5"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76" t="str">
        <f t="shared" si="26"/>
        <v>(含)-</v>
      </c>
      <c r="K118" s="2776" t="str">
        <f t="shared" si="26"/>
        <v>(含)-</v>
      </c>
      <c r="L118" s="2777" t="str">
        <f t="shared" si="26"/>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1"/>
      <c r="B119" s="673"/>
      <c r="C119" s="722">
        <v>0</v>
      </c>
      <c r="D119" s="722">
        <f>C119+50000</f>
        <v>50000</v>
      </c>
      <c r="E119" s="722">
        <f t="shared" ref="E119:G119" si="27">D119+50000</f>
        <v>100000</v>
      </c>
      <c r="F119" s="722">
        <f t="shared" si="27"/>
        <v>150000</v>
      </c>
      <c r="G119" s="722">
        <f t="shared" si="27"/>
        <v>200000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1"/>
      <c r="B120" s="670"/>
      <c r="C120" s="692"/>
      <c r="D120" s="718"/>
      <c r="E120" s="718"/>
      <c r="F120" s="718"/>
      <c r="G120" s="718"/>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298" t="s">
        <v>3124</v>
      </c>
      <c r="D121" s="3298" t="s">
        <v>3126</v>
      </c>
      <c r="E121" s="3298" t="s">
        <v>3127</v>
      </c>
      <c r="F121" s="3298" t="s">
        <v>3128</v>
      </c>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5.75" thickBot="1">
      <c r="A122" s="661"/>
      <c r="B122" s="670"/>
      <c r="C122" s="671">
        <v>100</v>
      </c>
      <c r="D122" s="671">
        <f t="shared" ref="D122:M122" si="28">C122-$K41</f>
        <v>100</v>
      </c>
      <c r="E122" s="671">
        <f t="shared" si="28"/>
        <v>100</v>
      </c>
      <c r="F122" s="671">
        <f t="shared" si="28"/>
        <v>100</v>
      </c>
      <c r="G122" s="671">
        <f t="shared" si="28"/>
        <v>100</v>
      </c>
      <c r="H122" s="671">
        <f t="shared" si="28"/>
        <v>100</v>
      </c>
      <c r="I122" s="671">
        <f t="shared" si="28"/>
        <v>100</v>
      </c>
      <c r="J122" s="671">
        <f t="shared" si="28"/>
        <v>100</v>
      </c>
      <c r="K122" s="671">
        <f t="shared" si="28"/>
        <v>100</v>
      </c>
      <c r="L122" s="671">
        <f t="shared" si="28"/>
        <v>100</v>
      </c>
      <c r="M122" s="672">
        <f t="shared" si="28"/>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297" t="s">
        <v>3130</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29">C124-$K42</f>
        <v>100</v>
      </c>
      <c r="E124" s="671">
        <f t="shared" si="29"/>
        <v>100</v>
      </c>
      <c r="F124" s="671">
        <f t="shared" si="29"/>
        <v>100</v>
      </c>
      <c r="G124" s="671">
        <f t="shared" si="29"/>
        <v>100</v>
      </c>
      <c r="H124" s="671">
        <f t="shared" si="29"/>
        <v>100</v>
      </c>
      <c r="I124" s="671">
        <f t="shared" si="29"/>
        <v>100</v>
      </c>
      <c r="J124" s="671">
        <f t="shared" si="29"/>
        <v>100</v>
      </c>
      <c r="K124" s="671">
        <f t="shared" si="29"/>
        <v>100</v>
      </c>
      <c r="L124" s="671">
        <f t="shared" si="29"/>
        <v>100</v>
      </c>
      <c r="M124" s="672">
        <f t="shared" si="29"/>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2410</v>
      </c>
      <c r="C125" s="1324" t="s">
        <v>3136</v>
      </c>
      <c r="D125" s="1324" t="s">
        <v>3137</v>
      </c>
      <c r="E125" s="1324" t="s">
        <v>3138</v>
      </c>
      <c r="F125" s="1324" t="s">
        <v>3139</v>
      </c>
      <c r="G125" s="1324"/>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9"/>
      <c r="B126" s="670"/>
      <c r="C126" s="671">
        <v>100</v>
      </c>
      <c r="D126" s="671">
        <f>C126-$K43</f>
        <v>100</v>
      </c>
      <c r="E126" s="671">
        <f t="shared" ref="E126:M126" si="30">D126-$K43</f>
        <v>100</v>
      </c>
      <c r="F126" s="671">
        <f t="shared" si="30"/>
        <v>100</v>
      </c>
      <c r="G126" s="671">
        <f t="shared" si="30"/>
        <v>100</v>
      </c>
      <c r="H126" s="671">
        <f t="shared" si="30"/>
        <v>100</v>
      </c>
      <c r="I126" s="671">
        <f t="shared" si="30"/>
        <v>100</v>
      </c>
      <c r="J126" s="671">
        <f t="shared" si="30"/>
        <v>100</v>
      </c>
      <c r="K126" s="671">
        <f t="shared" si="30"/>
        <v>100</v>
      </c>
      <c r="L126" s="671">
        <f t="shared" si="30"/>
        <v>100</v>
      </c>
      <c r="M126" s="672">
        <f t="shared" si="30"/>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1324" t="s">
        <v>3132</v>
      </c>
      <c r="D127" s="1324" t="s">
        <v>3131</v>
      </c>
      <c r="E127" s="1324" t="s">
        <v>3133</v>
      </c>
      <c r="F127" s="1324" t="s">
        <v>3134</v>
      </c>
      <c r="G127" s="1324" t="s">
        <v>3135</v>
      </c>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5.75" thickBot="1">
      <c r="A128" s="661"/>
      <c r="B128" s="670"/>
      <c r="C128" s="671">
        <v>100</v>
      </c>
      <c r="D128" s="671">
        <f t="shared" ref="D128:M128" si="31">C128-$K44</f>
        <v>100</v>
      </c>
      <c r="E128" s="671">
        <f t="shared" si="31"/>
        <v>100</v>
      </c>
      <c r="F128" s="671">
        <f t="shared" si="31"/>
        <v>100</v>
      </c>
      <c r="G128" s="671">
        <f t="shared" si="31"/>
        <v>100</v>
      </c>
      <c r="H128" s="671">
        <f t="shared" si="31"/>
        <v>100</v>
      </c>
      <c r="I128" s="671">
        <f t="shared" si="31"/>
        <v>100</v>
      </c>
      <c r="J128" s="671">
        <f t="shared" si="31"/>
        <v>100</v>
      </c>
      <c r="K128" s="671">
        <f t="shared" si="31"/>
        <v>100</v>
      </c>
      <c r="L128" s="671">
        <f t="shared" si="31"/>
        <v>100</v>
      </c>
      <c r="M128" s="672">
        <f t="shared" si="31"/>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5"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5.75"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502"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29" t="s">
        <v>1676</v>
      </c>
      <c r="B3" s="504"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6" t="s">
        <v>515</v>
      </c>
      <c r="B6" s="507"/>
      <c r="C6" s="3488" t="s">
        <v>516</v>
      </c>
      <c r="D6" s="3489"/>
      <c r="E6" s="3522" t="s">
        <v>517</v>
      </c>
      <c r="F6" s="3523"/>
      <c r="G6" s="3488" t="s">
        <v>518</v>
      </c>
      <c r="H6" s="3489"/>
      <c r="I6" s="3488" t="s">
        <v>519</v>
      </c>
      <c r="J6" s="3489"/>
      <c r="K6" s="508" t="s">
        <v>520</v>
      </c>
      <c r="L6" s="2013"/>
      <c r="M6" s="2014"/>
      <c r="N6" s="2014"/>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29" ht="15">
      <c r="A7" s="509"/>
      <c r="B7" s="510"/>
      <c r="C7" s="3504" t="s">
        <v>2886</v>
      </c>
      <c r="D7" s="3505"/>
      <c r="E7" s="3524" t="s">
        <v>2887</v>
      </c>
      <c r="F7" s="3525"/>
      <c r="G7" s="3504" t="s">
        <v>2888</v>
      </c>
      <c r="H7" s="3505"/>
      <c r="I7" s="3504" t="s">
        <v>2889</v>
      </c>
      <c r="J7" s="3505"/>
      <c r="K7" s="508"/>
      <c r="L7" s="2013"/>
      <c r="M7" s="2014"/>
      <c r="N7" s="2014"/>
      <c r="O7" s="2014"/>
      <c r="P7" s="3492"/>
      <c r="Q7" s="3493"/>
      <c r="R7" s="3498"/>
      <c r="S7" s="3499"/>
      <c r="T7" s="3498"/>
      <c r="U7" s="3499"/>
      <c r="V7" s="3483"/>
      <c r="W7" s="3483"/>
      <c r="X7" s="1499"/>
      <c r="Y7" s="3498"/>
      <c r="Z7" s="3499"/>
      <c r="AA7" s="3486"/>
      <c r="AB7" s="3486"/>
      <c r="AC7" s="3486"/>
    </row>
    <row r="8" spans="1:29" ht="15.75" thickBot="1">
      <c r="A8" s="511"/>
      <c r="B8" s="512"/>
      <c r="C8" s="3502" t="s">
        <v>2890</v>
      </c>
      <c r="D8" s="3503"/>
      <c r="E8" s="3520" t="s">
        <v>2890</v>
      </c>
      <c r="F8" s="3521"/>
      <c r="G8" s="3502" t="s">
        <v>2890</v>
      </c>
      <c r="H8" s="3503"/>
      <c r="I8" s="3502" t="s">
        <v>2890</v>
      </c>
      <c r="J8" s="3503"/>
      <c r="K8" s="508" t="s">
        <v>522</v>
      </c>
      <c r="L8" s="2013"/>
      <c r="M8" s="2014"/>
      <c r="N8" s="2014"/>
      <c r="O8" s="2014"/>
      <c r="P8" s="3494"/>
      <c r="Q8" s="3495"/>
      <c r="R8" s="3498"/>
      <c r="S8" s="3499"/>
      <c r="T8" s="3500"/>
      <c r="U8" s="3501"/>
      <c r="V8" s="3483"/>
      <c r="W8" s="3483"/>
      <c r="X8" s="1499"/>
      <c r="Y8" s="3500"/>
      <c r="Z8" s="3501"/>
      <c r="AA8" s="3487"/>
      <c r="AB8" s="3487"/>
      <c r="AC8" s="3487"/>
    </row>
    <row r="9" spans="1:29" s="1201" customFormat="1" ht="15.75" thickBot="1">
      <c r="A9" s="2627"/>
      <c r="B9" s="2634" t="s">
        <v>523</v>
      </c>
      <c r="C9" s="513">
        <f>'数据-取费表'!B2</f>
        <v>44295</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513" t="s">
        <v>524</v>
      </c>
      <c r="Q9" s="3515"/>
      <c r="R9" s="1500" t="s">
        <v>8</v>
      </c>
      <c r="S9" s="1501">
        <f t="shared" ref="S9:S17" si="0">F9</f>
        <v>0</v>
      </c>
      <c r="T9" s="1500" t="s">
        <v>8</v>
      </c>
      <c r="U9" s="1501">
        <f t="shared" ref="U9:U17" si="1">H9</f>
        <v>0</v>
      </c>
      <c r="V9" s="1500" t="s">
        <v>8</v>
      </c>
      <c r="W9" s="1501">
        <f t="shared" ref="W9:W17" si="2">J9</f>
        <v>0</v>
      </c>
      <c r="X9" s="1502"/>
      <c r="Y9" s="3513" t="s">
        <v>524</v>
      </c>
      <c r="Z9" s="3514"/>
      <c r="AA9" s="1503" t="e">
        <f>D9/F9</f>
        <v>#DIV/0!</v>
      </c>
      <c r="AB9" s="1503" t="e">
        <f>D9/H9</f>
        <v>#DIV/0!</v>
      </c>
      <c r="AC9" s="1503" t="e">
        <f>D9/J9</f>
        <v>#DIV/0!</v>
      </c>
    </row>
    <row r="10" spans="1:29" s="1201"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513" t="s">
        <v>527</v>
      </c>
      <c r="Q10" s="3514"/>
      <c r="R10" s="1500" t="s">
        <v>8</v>
      </c>
      <c r="S10" s="1501">
        <f t="shared" si="0"/>
        <v>0</v>
      </c>
      <c r="T10" s="1500" t="s">
        <v>8</v>
      </c>
      <c r="U10" s="1501">
        <f t="shared" si="1"/>
        <v>0</v>
      </c>
      <c r="V10" s="1500" t="s">
        <v>8</v>
      </c>
      <c r="W10" s="1501">
        <f t="shared" si="2"/>
        <v>0</v>
      </c>
      <c r="X10" s="1502"/>
      <c r="Y10" s="3513" t="s">
        <v>527</v>
      </c>
      <c r="Z10" s="3514"/>
      <c r="AA10" s="1503" t="e">
        <f t="shared" ref="AA10:AA42" si="3">D10/F10</f>
        <v>#DIV/0!</v>
      </c>
      <c r="AB10" s="1503" t="e">
        <f t="shared" ref="AB10:AB42" si="4">D10/H10</f>
        <v>#DIV/0!</v>
      </c>
      <c r="AC10" s="1503" t="e">
        <f t="shared" ref="AC10:AC42" si="5">D10/J10</f>
        <v>#DIV/0!</v>
      </c>
    </row>
    <row r="11" spans="1:29" s="1201" customFormat="1" ht="15">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29" s="1290" customFormat="1" ht="27">
      <c r="A12" s="2630"/>
      <c r="B12" s="2635" t="s">
        <v>2737</v>
      </c>
      <c r="C12" s="522"/>
      <c r="D12" s="253">
        <v>100</v>
      </c>
      <c r="E12" s="522"/>
      <c r="F12" s="253">
        <f>ROUND(100/'数据-取费表'!G16,0)</f>
        <v>100</v>
      </c>
      <c r="G12" s="522"/>
      <c r="H12" s="253">
        <f>ROUND(100/'数据-取费表'!G16,0)</f>
        <v>100</v>
      </c>
      <c r="I12" s="522"/>
      <c r="J12" s="253">
        <f>ROUND(100/'数据-取费表'!G16,0)</f>
        <v>100</v>
      </c>
      <c r="K12" s="525"/>
      <c r="L12" s="2018"/>
      <c r="M12" s="2057"/>
      <c r="N12" s="2057"/>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482"/>
      <c r="Q13" s="1132" t="str">
        <f t="shared" si="6"/>
        <v>容积率</v>
      </c>
      <c r="R13" s="1500" t="s">
        <v>8</v>
      </c>
      <c r="S13" s="1501" t="e">
        <f t="shared" si="0"/>
        <v>#N/A</v>
      </c>
      <c r="T13" s="1500" t="s">
        <v>8</v>
      </c>
      <c r="U13" s="1501" t="e">
        <f t="shared" si="1"/>
        <v>#N/A</v>
      </c>
      <c r="V13" s="1500" t="s">
        <v>8</v>
      </c>
      <c r="W13" s="1501" t="e">
        <f t="shared" si="2"/>
        <v>#N/A</v>
      </c>
      <c r="X13" s="1502"/>
      <c r="Y13" s="3428"/>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 t="shared" si="3"/>
        <v>1</v>
      </c>
      <c r="AB15" s="1503">
        <f t="shared" si="4"/>
        <v>1</v>
      </c>
      <c r="AC15" s="1503">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 t="shared" si="3"/>
        <v>1</v>
      </c>
      <c r="AB16" s="1503">
        <f t="shared" si="4"/>
        <v>1</v>
      </c>
      <c r="AC16" s="1503">
        <f t="shared" si="5"/>
        <v>1</v>
      </c>
    </row>
    <row r="17" spans="1:29" ht="57">
      <c r="A17" s="2625" t="s">
        <v>2734</v>
      </c>
      <c r="B17" s="164" t="s">
        <v>592</v>
      </c>
      <c r="C17" s="908"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516" t="s">
        <v>534</v>
      </c>
      <c r="Q17" s="1504" t="str">
        <f t="shared" si="6"/>
        <v>产业集聚程度</v>
      </c>
      <c r="R17" s="1505" t="s">
        <v>8</v>
      </c>
      <c r="S17" s="1506">
        <f t="shared" si="0"/>
        <v>100</v>
      </c>
      <c r="T17" s="1505" t="s">
        <v>8</v>
      </c>
      <c r="U17" s="1506">
        <f t="shared" si="1"/>
        <v>100</v>
      </c>
      <c r="V17" s="1505" t="s">
        <v>8</v>
      </c>
      <c r="W17" s="1506">
        <f t="shared" si="2"/>
        <v>100</v>
      </c>
      <c r="X17" s="1499"/>
      <c r="Y17" s="3516"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517"/>
      <c r="Q18" s="1504"/>
      <c r="R18" s="1505"/>
      <c r="S18" s="1506"/>
      <c r="T18" s="1505"/>
      <c r="U18" s="1506"/>
      <c r="V18" s="1505"/>
      <c r="W18" s="1506"/>
      <c r="X18" s="1499"/>
      <c r="Y18" s="3517"/>
      <c r="Z18" s="1507"/>
      <c r="AA18" s="1508">
        <v>1</v>
      </c>
      <c r="AB18" s="1508">
        <v>1</v>
      </c>
      <c r="AC18" s="1508">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517"/>
      <c r="Q19" s="1504" t="str">
        <f>B19</f>
        <v>交通便捷度</v>
      </c>
      <c r="R19" s="1505" t="s">
        <v>8</v>
      </c>
      <c r="S19" s="1506">
        <f>F19</f>
        <v>100</v>
      </c>
      <c r="T19" s="1505" t="s">
        <v>8</v>
      </c>
      <c r="U19" s="1506">
        <f>H19</f>
        <v>100</v>
      </c>
      <c r="V19" s="1505" t="s">
        <v>8</v>
      </c>
      <c r="W19" s="1506">
        <f>J19</f>
        <v>100</v>
      </c>
      <c r="X19" s="1499"/>
      <c r="Y19" s="3517"/>
      <c r="Z19" s="1507" t="str">
        <f>Q19</f>
        <v>交通便捷度</v>
      </c>
      <c r="AA19" s="1508">
        <f t="shared" si="3"/>
        <v>1</v>
      </c>
      <c r="AB19" s="1508">
        <f t="shared" si="4"/>
        <v>1</v>
      </c>
      <c r="AC19" s="1508">
        <f t="shared" si="5"/>
        <v>1</v>
      </c>
    </row>
    <row r="20" spans="1:29" ht="15">
      <c r="A20" s="526"/>
      <c r="B20" s="909"/>
      <c r="C20" s="570"/>
      <c r="D20" s="549"/>
      <c r="E20" s="550"/>
      <c r="F20" s="549"/>
      <c r="G20" s="550"/>
      <c r="H20" s="549"/>
      <c r="I20" s="552"/>
      <c r="J20" s="549"/>
      <c r="K20" s="525"/>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517"/>
      <c r="Q21" s="1504" t="str">
        <f t="shared" ref="Q21:Q35" si="8">B21</f>
        <v>区域土地利用方向</v>
      </c>
      <c r="R21" s="1505" t="s">
        <v>8</v>
      </c>
      <c r="S21" s="1506">
        <f>F21</f>
        <v>100</v>
      </c>
      <c r="T21" s="1505" t="s">
        <v>8</v>
      </c>
      <c r="U21" s="1506">
        <f>H21</f>
        <v>100</v>
      </c>
      <c r="V21" s="1505" t="s">
        <v>8</v>
      </c>
      <c r="W21" s="1506">
        <f>J21</f>
        <v>100</v>
      </c>
      <c r="X21" s="1499"/>
      <c r="Y21" s="3517"/>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517"/>
      <c r="Q22" s="1504"/>
      <c r="R22" s="1505"/>
      <c r="S22" s="1506"/>
      <c r="T22" s="1505"/>
      <c r="U22" s="1506"/>
      <c r="V22" s="1505"/>
      <c r="W22" s="1506"/>
      <c r="X22" s="1499"/>
      <c r="Y22" s="3517"/>
      <c r="Z22" s="1507"/>
      <c r="AA22" s="1508"/>
      <c r="AB22" s="1508"/>
      <c r="AC22" s="1508"/>
    </row>
    <row r="23" spans="1:29" ht="71.25">
      <c r="A23" s="509"/>
      <c r="B23" s="909"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517"/>
      <c r="Q23" s="1504" t="str">
        <f t="shared" si="8"/>
        <v>环境状况</v>
      </c>
      <c r="R23" s="1505" t="s">
        <v>8</v>
      </c>
      <c r="S23" s="1506">
        <f>F23</f>
        <v>100</v>
      </c>
      <c r="T23" s="1505" t="s">
        <v>8</v>
      </c>
      <c r="U23" s="1506">
        <f>H23</f>
        <v>100</v>
      </c>
      <c r="V23" s="1505" t="s">
        <v>8</v>
      </c>
      <c r="W23" s="1506">
        <f>J23</f>
        <v>100</v>
      </c>
      <c r="X23" s="1499"/>
      <c r="Y23" s="3517"/>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517"/>
      <c r="Q24" s="1504"/>
      <c r="R24" s="1505"/>
      <c r="S24" s="1506"/>
      <c r="T24" s="1505"/>
      <c r="U24" s="1506"/>
      <c r="V24" s="1505"/>
      <c r="W24" s="1506"/>
      <c r="X24" s="1499"/>
      <c r="Y24" s="3517"/>
      <c r="Z24" s="1507"/>
      <c r="AA24" s="1508">
        <v>1</v>
      </c>
      <c r="AB24" s="1508">
        <v>1</v>
      </c>
      <c r="AC24" s="1508">
        <v>1</v>
      </c>
    </row>
    <row r="25" spans="1:29" s="1201"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517"/>
      <c r="Q25" s="1132" t="str">
        <f t="shared" si="8"/>
        <v>公共配套设施</v>
      </c>
      <c r="R25" s="1500" t="s">
        <v>8</v>
      </c>
      <c r="S25" s="1501">
        <f>F25</f>
        <v>100</v>
      </c>
      <c r="T25" s="1500" t="s">
        <v>8</v>
      </c>
      <c r="U25" s="1501">
        <f>H25</f>
        <v>100</v>
      </c>
      <c r="V25" s="1500" t="s">
        <v>8</v>
      </c>
      <c r="W25" s="1501">
        <f>J25</f>
        <v>100</v>
      </c>
      <c r="X25" s="1502"/>
      <c r="Y25" s="3517"/>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517"/>
      <c r="Q26" s="1132"/>
      <c r="R26" s="1500"/>
      <c r="S26" s="1501"/>
      <c r="T26" s="1500"/>
      <c r="U26" s="1501"/>
      <c r="V26" s="1500"/>
      <c r="W26" s="1501"/>
      <c r="X26" s="1502"/>
      <c r="Y26" s="3517"/>
      <c r="Z26" s="1131"/>
      <c r="AA26" s="1503">
        <v>1</v>
      </c>
      <c r="AB26" s="1503">
        <v>1</v>
      </c>
      <c r="AC26" s="1503">
        <v>1</v>
      </c>
    </row>
    <row r="27" spans="1:29" s="1201"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517"/>
      <c r="Q27" s="2426" t="str">
        <f t="shared" ref="Q27" si="9">B27</f>
        <v>基础设施水平</v>
      </c>
      <c r="R27" s="1500" t="s">
        <v>8</v>
      </c>
      <c r="S27" s="1501">
        <f>F27</f>
        <v>100</v>
      </c>
      <c r="T27" s="1500" t="s">
        <v>8</v>
      </c>
      <c r="U27" s="1501">
        <f>H27</f>
        <v>100</v>
      </c>
      <c r="V27" s="1500" t="s">
        <v>8</v>
      </c>
      <c r="W27" s="1501">
        <f>J27</f>
        <v>100</v>
      </c>
      <c r="X27" s="1502"/>
      <c r="Y27" s="3517"/>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517"/>
      <c r="Q28" s="2426"/>
      <c r="R28" s="1500"/>
      <c r="S28" s="1501"/>
      <c r="T28" s="1500"/>
      <c r="U28" s="1501"/>
      <c r="V28" s="1500"/>
      <c r="W28" s="1501"/>
      <c r="X28" s="1502"/>
      <c r="Y28" s="3517"/>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517"/>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17"/>
      <c r="Z29" s="1507" t="str">
        <f t="shared" ref="Z29:Z42" si="13">Q29</f>
        <v>临街状况</v>
      </c>
      <c r="AA29" s="1508">
        <f t="shared" si="3"/>
        <v>1</v>
      </c>
      <c r="AB29" s="1508">
        <f t="shared" si="4"/>
        <v>1</v>
      </c>
      <c r="AC29" s="1508">
        <f t="shared" si="5"/>
        <v>1</v>
      </c>
    </row>
    <row r="30" spans="1:29" ht="27">
      <c r="A30" s="526"/>
      <c r="B30" s="909"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517"/>
      <c r="Q30" s="1504" t="str">
        <f t="shared" si="8"/>
        <v>毗邻道路的类型与等级</v>
      </c>
      <c r="R30" s="1505" t="s">
        <v>8</v>
      </c>
      <c r="S30" s="1506">
        <f t="shared" si="10"/>
        <v>100</v>
      </c>
      <c r="T30" s="1505" t="s">
        <v>8</v>
      </c>
      <c r="U30" s="1506">
        <f t="shared" si="11"/>
        <v>100</v>
      </c>
      <c r="V30" s="1505" t="s">
        <v>8</v>
      </c>
      <c r="W30" s="1506">
        <f t="shared" si="12"/>
        <v>100</v>
      </c>
      <c r="X30" s="1499"/>
      <c r="Y30" s="3517"/>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517"/>
      <c r="Q31" s="1504"/>
      <c r="R31" s="1505"/>
      <c r="S31" s="1506"/>
      <c r="T31" s="1505"/>
      <c r="U31" s="1506"/>
      <c r="V31" s="1505"/>
      <c r="W31" s="1506"/>
      <c r="X31" s="1499"/>
      <c r="Y31" s="3517"/>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517"/>
      <c r="Q32" s="1504" t="str">
        <f t="shared" si="8"/>
        <v>土地级别</v>
      </c>
      <c r="R32" s="1505" t="s">
        <v>8</v>
      </c>
      <c r="S32" s="1506">
        <f t="shared" si="10"/>
        <v>100</v>
      </c>
      <c r="T32" s="1505" t="s">
        <v>8</v>
      </c>
      <c r="U32" s="1506">
        <f t="shared" si="11"/>
        <v>100</v>
      </c>
      <c r="V32" s="1505" t="s">
        <v>8</v>
      </c>
      <c r="W32" s="1506">
        <f t="shared" si="12"/>
        <v>100</v>
      </c>
      <c r="X32" s="1499"/>
      <c r="Y32" s="3517"/>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517"/>
      <c r="Q33" s="1504">
        <f t="shared" si="8"/>
        <v>111</v>
      </c>
      <c r="R33" s="1505" t="s">
        <v>8</v>
      </c>
      <c r="S33" s="1506">
        <f t="shared" si="10"/>
        <v>100</v>
      </c>
      <c r="T33" s="1505" t="s">
        <v>8</v>
      </c>
      <c r="U33" s="1506">
        <f t="shared" si="11"/>
        <v>100</v>
      </c>
      <c r="V33" s="1505" t="s">
        <v>8</v>
      </c>
      <c r="W33" s="1506">
        <f t="shared" si="12"/>
        <v>100</v>
      </c>
      <c r="X33" s="1499"/>
      <c r="Y33" s="3517"/>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518" t="s">
        <v>544</v>
      </c>
      <c r="Q34" s="1504">
        <f t="shared" si="8"/>
        <v>111</v>
      </c>
      <c r="R34" s="1505" t="s">
        <v>8</v>
      </c>
      <c r="S34" s="1506">
        <f t="shared" si="10"/>
        <v>100</v>
      </c>
      <c r="T34" s="1505" t="s">
        <v>8</v>
      </c>
      <c r="U34" s="1506">
        <f t="shared" si="11"/>
        <v>100</v>
      </c>
      <c r="V34" s="1505" t="s">
        <v>8</v>
      </c>
      <c r="W34" s="1506">
        <f t="shared" si="12"/>
        <v>100</v>
      </c>
      <c r="X34" s="1499"/>
      <c r="Y34" s="3519" t="s">
        <v>544</v>
      </c>
      <c r="Z34" s="1507">
        <f t="shared" si="13"/>
        <v>111</v>
      </c>
      <c r="AA34" s="1508">
        <f t="shared" si="3"/>
        <v>1</v>
      </c>
      <c r="AB34" s="1508">
        <f t="shared" si="4"/>
        <v>1</v>
      </c>
      <c r="AC34" s="1508">
        <f t="shared" si="5"/>
        <v>1</v>
      </c>
    </row>
    <row r="35" spans="1:29" s="1291"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519"/>
      <c r="Q35" s="1504">
        <f t="shared" si="8"/>
        <v>111</v>
      </c>
      <c r="R35" s="1509" t="s">
        <v>8</v>
      </c>
      <c r="S35" s="1510">
        <f t="shared" si="10"/>
        <v>100</v>
      </c>
      <c r="T35" s="1509" t="s">
        <v>8</v>
      </c>
      <c r="U35" s="1510">
        <f t="shared" si="11"/>
        <v>100</v>
      </c>
      <c r="V35" s="1509" t="s">
        <v>8</v>
      </c>
      <c r="W35" s="1510">
        <f t="shared" si="12"/>
        <v>100</v>
      </c>
      <c r="X35" s="1511"/>
      <c r="Y35" s="3519"/>
      <c r="Z35" s="1512">
        <f t="shared" si="13"/>
        <v>111</v>
      </c>
      <c r="AA35" s="1508">
        <f t="shared" si="3"/>
        <v>1</v>
      </c>
      <c r="AB35" s="1508">
        <f t="shared" si="4"/>
        <v>1</v>
      </c>
      <c r="AC35" s="1508">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519"/>
      <c r="Q36" s="1504" t="str">
        <f>B36</f>
        <v>宗地面积</v>
      </c>
      <c r="R36" s="1505" t="s">
        <v>8</v>
      </c>
      <c r="S36" s="1506" t="e">
        <f t="shared" si="10"/>
        <v>#N/A</v>
      </c>
      <c r="T36" s="1505" t="s">
        <v>8</v>
      </c>
      <c r="U36" s="1506" t="e">
        <f t="shared" si="11"/>
        <v>#N/A</v>
      </c>
      <c r="V36" s="1505" t="s">
        <v>8</v>
      </c>
      <c r="W36" s="1506" t="e">
        <f t="shared" si="12"/>
        <v>#N/A</v>
      </c>
      <c r="X36" s="1499"/>
      <c r="Y36" s="3519"/>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519"/>
      <c r="Q37" s="1504" t="str">
        <f t="shared" ref="Q37:Q42" si="14">B37</f>
        <v>宗地形状</v>
      </c>
      <c r="R37" s="1505" t="s">
        <v>8</v>
      </c>
      <c r="S37" s="1506">
        <f t="shared" si="10"/>
        <v>100</v>
      </c>
      <c r="T37" s="1505" t="s">
        <v>8</v>
      </c>
      <c r="U37" s="1506">
        <f t="shared" si="11"/>
        <v>100</v>
      </c>
      <c r="V37" s="1505" t="s">
        <v>8</v>
      </c>
      <c r="W37" s="1506">
        <f t="shared" si="12"/>
        <v>100</v>
      </c>
      <c r="X37" s="1499"/>
      <c r="Y37" s="3519"/>
      <c r="Z37" s="1507" t="str">
        <f t="shared" si="13"/>
        <v>宗地形状</v>
      </c>
      <c r="AA37" s="1508">
        <f t="shared" si="3"/>
        <v>1</v>
      </c>
      <c r="AB37" s="1508">
        <f t="shared" si="4"/>
        <v>1</v>
      </c>
      <c r="AC37" s="1508">
        <f t="shared" si="5"/>
        <v>1</v>
      </c>
    </row>
    <row r="38" spans="1:29" s="1201" customFormat="1" ht="15">
      <c r="A38" s="594"/>
      <c r="B38" s="1807"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519"/>
      <c r="Q38" s="1504" t="str">
        <f t="shared" si="14"/>
        <v>宗地开发程度</v>
      </c>
      <c r="R38" s="1500" t="s">
        <v>8</v>
      </c>
      <c r="S38" s="1501">
        <f t="shared" si="10"/>
        <v>100</v>
      </c>
      <c r="T38" s="1500" t="s">
        <v>8</v>
      </c>
      <c r="U38" s="1501">
        <f t="shared" si="11"/>
        <v>100</v>
      </c>
      <c r="V38" s="1500" t="s">
        <v>8</v>
      </c>
      <c r="W38" s="1501">
        <f t="shared" si="12"/>
        <v>100</v>
      </c>
      <c r="X38" s="1502"/>
      <c r="Y38" s="3519"/>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t="s">
        <v>595</v>
      </c>
      <c r="Q39" s="1504" t="str">
        <f t="shared" si="14"/>
        <v>工程地质条件</v>
      </c>
      <c r="R39" s="1505" t="s">
        <v>8</v>
      </c>
      <c r="S39" s="1506">
        <f t="shared" si="10"/>
        <v>100</v>
      </c>
      <c r="T39" s="1505" t="s">
        <v>8</v>
      </c>
      <c r="U39" s="1506">
        <f t="shared" si="11"/>
        <v>100</v>
      </c>
      <c r="V39" s="1505" t="s">
        <v>8</v>
      </c>
      <c r="W39" s="1506">
        <f t="shared" si="12"/>
        <v>100</v>
      </c>
      <c r="X39" s="1499"/>
      <c r="Y39" s="3519"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519"/>
      <c r="Q40" s="1504">
        <f t="shared" si="14"/>
        <v>111</v>
      </c>
      <c r="R40" s="1505" t="s">
        <v>8</v>
      </c>
      <c r="S40" s="1506">
        <f t="shared" si="10"/>
        <v>100</v>
      </c>
      <c r="T40" s="1505" t="s">
        <v>8</v>
      </c>
      <c r="U40" s="1506">
        <f t="shared" si="11"/>
        <v>100</v>
      </c>
      <c r="V40" s="1505" t="s">
        <v>8</v>
      </c>
      <c r="W40" s="1506">
        <f t="shared" si="12"/>
        <v>100</v>
      </c>
      <c r="X40" s="1499"/>
      <c r="Y40" s="3519"/>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519"/>
      <c r="Q41" s="1504">
        <f t="shared" si="14"/>
        <v>111</v>
      </c>
      <c r="R41" s="1505" t="s">
        <v>8</v>
      </c>
      <c r="S41" s="1506">
        <f t="shared" si="10"/>
        <v>100</v>
      </c>
      <c r="T41" s="1505" t="s">
        <v>8</v>
      </c>
      <c r="U41" s="1506">
        <f t="shared" si="11"/>
        <v>100</v>
      </c>
      <c r="V41" s="1505" t="s">
        <v>8</v>
      </c>
      <c r="W41" s="1506">
        <f t="shared" si="12"/>
        <v>100</v>
      </c>
      <c r="X41" s="1499"/>
      <c r="Y41" s="3519"/>
      <c r="Z41" s="1507">
        <f t="shared" si="13"/>
        <v>111</v>
      </c>
      <c r="AA41" s="1508">
        <f t="shared" si="3"/>
        <v>1</v>
      </c>
      <c r="AB41" s="1508">
        <f t="shared" si="4"/>
        <v>1</v>
      </c>
      <c r="AC41" s="1508">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519"/>
      <c r="Q42" s="1504">
        <f t="shared" si="14"/>
        <v>111</v>
      </c>
      <c r="R42" s="1509" t="s">
        <v>8</v>
      </c>
      <c r="S42" s="1510">
        <f t="shared" si="10"/>
        <v>100</v>
      </c>
      <c r="T42" s="1509" t="s">
        <v>8</v>
      </c>
      <c r="U42" s="1510">
        <f t="shared" si="11"/>
        <v>100</v>
      </c>
      <c r="V42" s="1509" t="s">
        <v>8</v>
      </c>
      <c r="W42" s="1510">
        <f t="shared" si="12"/>
        <v>100</v>
      </c>
      <c r="X42" s="1511"/>
      <c r="Y42" s="3519"/>
      <c r="Z42" s="1512">
        <f t="shared" si="13"/>
        <v>111</v>
      </c>
      <c r="AA42" s="1508">
        <f t="shared" si="3"/>
        <v>1</v>
      </c>
      <c r="AB42" s="1508">
        <f t="shared" si="4"/>
        <v>1</v>
      </c>
      <c r="AC42" s="1508">
        <f t="shared" si="5"/>
        <v>1</v>
      </c>
    </row>
    <row r="43" spans="1:29" ht="15">
      <c r="A43" s="601" t="s">
        <v>550</v>
      </c>
      <c r="B43" s="602" t="s">
        <v>2891</v>
      </c>
      <c r="C43" s="603" t="s">
        <v>1</v>
      </c>
      <c r="D43" s="604"/>
      <c r="E43" s="605"/>
      <c r="F43" s="606"/>
      <c r="G43" s="607"/>
      <c r="H43" s="608"/>
      <c r="I43" s="605"/>
      <c r="J43" s="608"/>
      <c r="K43" s="1292"/>
      <c r="L43" s="2024"/>
      <c r="M43" s="2014"/>
      <c r="N43" s="2014"/>
      <c r="O43" s="2025"/>
      <c r="P43" s="3482" t="str">
        <f>A43</f>
        <v>成交单价</v>
      </c>
      <c r="Q43" s="3482"/>
      <c r="R43" s="3483">
        <f>E43</f>
        <v>0</v>
      </c>
      <c r="S43" s="3483"/>
      <c r="T43" s="3483">
        <f>G43</f>
        <v>0</v>
      </c>
      <c r="U43" s="3483"/>
      <c r="V43" s="3483">
        <f>I43</f>
        <v>0</v>
      </c>
      <c r="W43" s="3483"/>
      <c r="X43" s="1494"/>
      <c r="Y43" s="1513"/>
      <c r="Z43" s="1494"/>
      <c r="AA43" s="1494"/>
      <c r="AB43" s="1494"/>
      <c r="AC43" s="1494"/>
    </row>
    <row r="44" spans="1:29" ht="15.75" thickBot="1">
      <c r="A44" s="609" t="s">
        <v>2673</v>
      </c>
      <c r="B44" s="610"/>
      <c r="C44" s="611" t="e">
        <f>R45</f>
        <v>#DIV/0!</v>
      </c>
      <c r="D44" s="3010" t="s">
        <v>2960</v>
      </c>
      <c r="E44" s="611" t="e">
        <f>R44</f>
        <v>#DIV/0!</v>
      </c>
      <c r="F44" s="3011"/>
      <c r="G44" s="612" t="e">
        <f>T44</f>
        <v>#DIV/0!</v>
      </c>
      <c r="H44" s="3011"/>
      <c r="I44" s="611" t="e">
        <f>V44</f>
        <v>#DIV/0!</v>
      </c>
      <c r="J44" s="3011"/>
      <c r="K44" s="3012">
        <f>F44+H44+J44</f>
        <v>0</v>
      </c>
      <c r="L44" s="2024"/>
      <c r="M44" s="2014"/>
      <c r="N44" s="2014"/>
      <c r="O44" s="2025"/>
      <c r="P44" s="3482" t="str">
        <f>A44</f>
        <v>比较价格（元/平方米）</v>
      </c>
      <c r="Q44" s="3482"/>
      <c r="R44" s="3484" t="e">
        <f>ROUND(PRODUCT(R43,AA9:AA42),0)</f>
        <v>#DIV/0!</v>
      </c>
      <c r="S44" s="3484"/>
      <c r="T44" s="3484" t="e">
        <f>ROUND(PRODUCT(T43,AB9:AB42),0)</f>
        <v>#DIV/0!</v>
      </c>
      <c r="U44" s="3484"/>
      <c r="V44" s="3484" t="e">
        <f>ROUND(PRODUCT(V43,AC9:AC42),0)</f>
        <v>#DIV/0!</v>
      </c>
      <c r="W44" s="3484"/>
      <c r="X44" s="1494"/>
      <c r="Y44" s="1494"/>
      <c r="Z44" s="1494"/>
      <c r="AA44" s="1494"/>
      <c r="AB44" s="1494"/>
      <c r="AC44" s="1494"/>
    </row>
    <row r="45" spans="1:29" ht="15.75" thickBot="1">
      <c r="A45" s="613" t="s">
        <v>2892</v>
      </c>
      <c r="B45" s="614"/>
      <c r="C45" s="615" t="e">
        <f>R45</f>
        <v>#DIV/0!</v>
      </c>
      <c r="D45" s="615"/>
      <c r="E45" s="615"/>
      <c r="F45" s="615"/>
      <c r="G45" s="615"/>
      <c r="H45" s="615"/>
      <c r="I45" s="615"/>
      <c r="J45" s="615"/>
      <c r="K45" s="1293"/>
      <c r="L45" s="2024"/>
      <c r="M45" s="2014"/>
      <c r="N45" s="2014"/>
      <c r="O45" s="2025"/>
      <c r="P45" s="3479" t="str">
        <f>A45</f>
        <v>估价对象XX用房的比较价格（楼面单价，元/平方米）</v>
      </c>
      <c r="Q45" s="3480"/>
      <c r="R45" s="3531" t="e">
        <f>ROUND(IF(D44="简单平均",AVERAGE(R44:W44),R44*F44+T44*H44+V44*J44),0)</f>
        <v>#DIV/0!</v>
      </c>
      <c r="S45" s="3531"/>
      <c r="T45" s="3531"/>
      <c r="U45" s="3531"/>
      <c r="V45" s="3531"/>
      <c r="W45" s="3531"/>
      <c r="X45" s="1494"/>
      <c r="Y45" s="1494"/>
      <c r="Z45" s="1494"/>
      <c r="AA45" s="1494"/>
      <c r="AB45" s="1494"/>
      <c r="AC45" s="1494"/>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1" t="s">
        <v>554</v>
      </c>
      <c r="B52" s="622" t="s">
        <v>555</v>
      </c>
      <c r="C52" s="1495" t="s">
        <v>1715</v>
      </c>
      <c r="D52" s="2105" t="s">
        <v>2281</v>
      </c>
      <c r="E52" s="623" t="s">
        <v>556</v>
      </c>
      <c r="F52" s="1863" t="s">
        <v>557</v>
      </c>
      <c r="G52" s="3526" t="s">
        <v>2272</v>
      </c>
      <c r="H52" s="3527"/>
      <c r="I52" s="1864" t="s">
        <v>1934</v>
      </c>
      <c r="J52" s="1491" t="str">
        <f>项目基本情况!F41</f>
        <v>黔南布衣苗族自治州</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5" t="s">
        <v>558</v>
      </c>
      <c r="B53" s="626" t="e">
        <f>C45</f>
        <v>#DIV/0!</v>
      </c>
      <c r="C53" s="627">
        <v>1</v>
      </c>
      <c r="D53" s="2106">
        <v>1</v>
      </c>
      <c r="E53" s="627">
        <f>'数据-汇总表'!E8+'数据-汇总表'!E9</f>
        <v>206901.75</v>
      </c>
      <c r="F53" s="1862" t="e">
        <f t="shared" ref="F53:F62" si="15">ROUND(B53*E53/10000,0)</f>
        <v>#DIV/0!</v>
      </c>
      <c r="G53" s="3528"/>
      <c r="H53" s="3529"/>
      <c r="I53" s="1865">
        <v>1</v>
      </c>
      <c r="J53" s="1492">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9" t="s">
        <v>559</v>
      </c>
      <c r="B54" s="630" t="e">
        <f>ROUND($C$45*C54*D54,0)</f>
        <v>#DIV/0!</v>
      </c>
      <c r="C54" s="372">
        <f t="shared" ref="C54:C62" si="16">IF($C$52="北京市系数",I54,J54)</f>
        <v>0</v>
      </c>
      <c r="D54" s="2107">
        <v>0.25</v>
      </c>
      <c r="E54" s="631"/>
      <c r="F54" s="1862" t="e">
        <f t="shared" si="15"/>
        <v>#DIV/0!</v>
      </c>
      <c r="G54" s="3530" t="s">
        <v>2273</v>
      </c>
      <c r="H54" s="1866">
        <f>项目基本情况!B43</f>
        <v>0</v>
      </c>
      <c r="I54" s="1865">
        <f>SUMIF(修正!$A$45:$A$56,H54,修正!B45:B56)</f>
        <v>0</v>
      </c>
      <c r="J54" s="1493"/>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9" t="s">
        <v>560</v>
      </c>
      <c r="B55" s="630" t="e">
        <f t="shared" ref="B55:B62" si="17">ROUND($C$45*C55*D55,0)</f>
        <v>#DIV/0!</v>
      </c>
      <c r="C55" s="372">
        <f t="shared" si="16"/>
        <v>0</v>
      </c>
      <c r="D55" s="2107">
        <v>0.25</v>
      </c>
      <c r="E55" s="631"/>
      <c r="F55" s="1862" t="e">
        <f t="shared" si="15"/>
        <v>#DIV/0!</v>
      </c>
      <c r="G55" s="3530"/>
      <c r="H55" s="1867">
        <f>项目基本情况!B43</f>
        <v>0</v>
      </c>
      <c r="I55" s="1865">
        <f>SUMIF(修正!$A$45:$A$56,H55,修正!C45:C56)</f>
        <v>0</v>
      </c>
      <c r="J55" s="1493"/>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9" t="s">
        <v>561</v>
      </c>
      <c r="B56" s="630" t="e">
        <f t="shared" si="17"/>
        <v>#DIV/0!</v>
      </c>
      <c r="C56" s="372">
        <f t="shared" si="16"/>
        <v>0</v>
      </c>
      <c r="D56" s="2107">
        <v>0.25</v>
      </c>
      <c r="E56" s="631"/>
      <c r="F56" s="1862" t="e">
        <f t="shared" si="15"/>
        <v>#DIV/0!</v>
      </c>
      <c r="G56" s="3530"/>
      <c r="H56" s="1867">
        <f>项目基本情况!B43</f>
        <v>0</v>
      </c>
      <c r="I56" s="1865">
        <f>SUMIF(修正!$A$45:$A$56,H56,修正!D45:D56)</f>
        <v>0</v>
      </c>
      <c r="J56" s="1493"/>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9" t="s">
        <v>562</v>
      </c>
      <c r="B57" s="630" t="e">
        <f t="shared" si="17"/>
        <v>#DIV/0!</v>
      </c>
      <c r="C57" s="372">
        <f t="shared" si="16"/>
        <v>0</v>
      </c>
      <c r="D57" s="2107">
        <v>0.25</v>
      </c>
      <c r="E57" s="631"/>
      <c r="F57" s="1862" t="e">
        <f t="shared" si="15"/>
        <v>#DIV/0!</v>
      </c>
      <c r="G57" s="3530"/>
      <c r="H57" s="1867">
        <f>项目基本情况!B43</f>
        <v>0</v>
      </c>
      <c r="I57" s="1865">
        <f>SUMIF(修正!$A$45:$A$56,H57,修正!E45:E56)</f>
        <v>0</v>
      </c>
      <c r="J57" s="1493"/>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30" t="e">
        <f t="shared" si="17"/>
        <v>#DIV/0!</v>
      </c>
      <c r="C58" s="372">
        <f t="shared" si="16"/>
        <v>0</v>
      </c>
      <c r="D58" s="2107">
        <v>0.25</v>
      </c>
      <c r="E58" s="633">
        <f>'数据-汇总表'!E11</f>
        <v>0</v>
      </c>
      <c r="F58" s="1862" t="e">
        <f t="shared" si="15"/>
        <v>#DIV/0!</v>
      </c>
      <c r="G58" s="1868" t="s">
        <v>2274</v>
      </c>
      <c r="H58" s="1867">
        <f>项目基本情况!C43</f>
        <v>0</v>
      </c>
      <c r="I58" s="1865">
        <f>SUMIF(修正!$A$45:$A$56,H58,修正!F45:F56)</f>
        <v>0</v>
      </c>
      <c r="J58" s="1493"/>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563</v>
      </c>
      <c r="B59" s="630" t="e">
        <f t="shared" si="17"/>
        <v>#DIV/0!</v>
      </c>
      <c r="C59" s="372">
        <f t="shared" si="16"/>
        <v>0</v>
      </c>
      <c r="D59" s="2107">
        <v>0.25</v>
      </c>
      <c r="E59" s="633">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564</v>
      </c>
      <c r="B60" s="630" t="e">
        <f t="shared" si="17"/>
        <v>#DIV/0!</v>
      </c>
      <c r="C60" s="372">
        <f t="shared" si="16"/>
        <v>0</v>
      </c>
      <c r="D60" s="2107">
        <v>0.25</v>
      </c>
      <c r="E60" s="633">
        <f>'数据-汇总表'!E13</f>
        <v>117480.11</v>
      </c>
      <c r="F60" s="1862" t="e">
        <f t="shared" si="15"/>
        <v>#DIV/0!</v>
      </c>
      <c r="G60" s="1858" t="s">
        <v>914</v>
      </c>
      <c r="H60" s="1866">
        <f>IF(G60="商业",项目基本情况!B43,IF(G60="办公",项目基本情况!C43,IF(G60="住宅",项目基本情况!D43,项目基本情况!E43)))</f>
        <v>0</v>
      </c>
      <c r="I60" s="1865">
        <f>SUMIF(修正!$A$45:$A$56,H60,修正!H45:H56)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565</v>
      </c>
      <c r="B61" s="630" t="e">
        <f t="shared" si="17"/>
        <v>#DIV/0!</v>
      </c>
      <c r="C61" s="372">
        <f t="shared" si="16"/>
        <v>0</v>
      </c>
      <c r="D61" s="2107">
        <v>0.25</v>
      </c>
      <c r="E61" s="633">
        <f>'数据-汇总表'!E14</f>
        <v>0</v>
      </c>
      <c r="F61" s="1862" t="e">
        <f t="shared" si="15"/>
        <v>#DIV/0!</v>
      </c>
      <c r="G61" s="1868" t="s">
        <v>2273</v>
      </c>
      <c r="H61" s="1867">
        <f>项目基本情况!B43</f>
        <v>0</v>
      </c>
      <c r="I61" s="1865">
        <f>SUMIF(修正!$A$45:$A$56,H61,修正!H45:H56)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9" t="s">
        <v>566</v>
      </c>
      <c r="B62" s="630" t="e">
        <f t="shared" si="17"/>
        <v>#DIV/0!</v>
      </c>
      <c r="C62" s="372">
        <f t="shared" si="16"/>
        <v>0</v>
      </c>
      <c r="D62" s="2107">
        <v>0.25</v>
      </c>
      <c r="E62" s="633">
        <f>'数据-汇总表'!E15</f>
        <v>0</v>
      </c>
      <c r="F62" s="1862" t="e">
        <f t="shared" si="15"/>
        <v>#DIV/0!</v>
      </c>
      <c r="G62" s="1869" t="s">
        <v>2274</v>
      </c>
      <c r="H62" s="1870">
        <f>项目基本情况!C43</f>
        <v>0</v>
      </c>
      <c r="I62" s="1865">
        <f>SUMIF(修正!$A$45:$A$56,H62,修正!H45:H56)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4" t="s">
        <v>567</v>
      </c>
      <c r="B63" s="635" t="s">
        <v>17</v>
      </c>
      <c r="C63" s="635" t="s">
        <v>18</v>
      </c>
      <c r="D63" s="635" t="s">
        <v>2282</v>
      </c>
      <c r="E63" s="635">
        <f>IF(B43="楼面地价",SUM(E53:E62),'数据-汇总表'!D3)</f>
        <v>178018.61</v>
      </c>
      <c r="F63" s="636"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3" t="str">
        <f>"北京市平均增长率"&amp;TEXT(基准地价!P24,"0.00%")</f>
        <v>北京市平均增长率0.00%</v>
      </c>
      <c r="C68" s="882">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1" t="s">
        <v>525</v>
      </c>
      <c r="B70" s="640"/>
      <c r="C70" s="652" t="s">
        <v>570</v>
      </c>
      <c r="D70" s="653"/>
      <c r="E70" s="653"/>
      <c r="F70" s="653"/>
      <c r="G70" s="653"/>
      <c r="H70" s="653"/>
      <c r="I70" s="653"/>
      <c r="J70" s="653"/>
      <c r="K70" s="653"/>
      <c r="L70" s="654"/>
      <c r="M70" s="655"/>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1"/>
      <c r="B71" s="640"/>
      <c r="C71" s="641">
        <v>100</v>
      </c>
      <c r="D71" s="642"/>
      <c r="E71" s="642"/>
      <c r="F71" s="642"/>
      <c r="G71" s="642"/>
      <c r="H71" s="642"/>
      <c r="I71" s="642"/>
      <c r="J71" s="642"/>
      <c r="K71" s="642"/>
      <c r="L71" s="642"/>
      <c r="M71" s="644"/>
      <c r="N71" s="3224"/>
      <c r="O71" s="2041"/>
      <c r="P71" s="2037"/>
      <c r="Q71" s="2037"/>
      <c r="R71" s="1903"/>
      <c r="S71" s="1903"/>
      <c r="T71" s="1903"/>
      <c r="U71" s="1903"/>
      <c r="V71" s="1903"/>
      <c r="W71" s="1903"/>
      <c r="X71" s="1903"/>
      <c r="Y71" s="1903"/>
      <c r="Z71" s="1903"/>
      <c r="AA71" s="1903"/>
      <c r="AB71" s="1903"/>
      <c r="AC71" s="1903"/>
    </row>
    <row r="72" spans="1:29">
      <c r="A72" s="656" t="s">
        <v>571</v>
      </c>
      <c r="B72" s="657" t="s">
        <v>528</v>
      </c>
      <c r="C72" s="592"/>
      <c r="D72" s="592"/>
      <c r="E72" s="592"/>
      <c r="F72" s="592"/>
      <c r="G72" s="592"/>
      <c r="H72" s="592"/>
      <c r="I72" s="592"/>
      <c r="J72" s="592"/>
      <c r="K72" s="658"/>
      <c r="L72" s="659"/>
      <c r="M72" s="660"/>
      <c r="N72" s="3225"/>
      <c r="O72" s="2043"/>
      <c r="P72" s="2044"/>
      <c r="Q72" s="2037"/>
      <c r="R72" s="2025"/>
      <c r="S72" s="2025"/>
      <c r="T72" s="2025"/>
      <c r="U72" s="2025"/>
      <c r="V72" s="2025"/>
      <c r="W72" s="2025"/>
      <c r="X72" s="2025"/>
      <c r="Y72" s="2025"/>
      <c r="Z72" s="2025"/>
      <c r="AA72" s="2025"/>
      <c r="AB72" s="2025"/>
      <c r="AC72" s="2025"/>
    </row>
    <row r="73" spans="1:29" ht="15.75" thickBot="1">
      <c r="A73" s="661"/>
      <c r="B73" s="662"/>
      <c r="C73" s="663"/>
      <c r="D73" s="663"/>
      <c r="E73" s="663"/>
      <c r="F73" s="663"/>
      <c r="G73" s="663"/>
      <c r="H73" s="663"/>
      <c r="I73" s="663"/>
      <c r="J73" s="663"/>
      <c r="K73" s="663"/>
      <c r="L73" s="663"/>
      <c r="M73" s="664"/>
      <c r="N73" s="3226"/>
      <c r="O73" s="2045"/>
      <c r="P73" s="2044"/>
      <c r="Q73" s="2037"/>
      <c r="R73" s="2025"/>
      <c r="S73" s="2025"/>
      <c r="T73" s="2025"/>
      <c r="U73" s="2025"/>
      <c r="V73" s="2025"/>
      <c r="W73" s="2025"/>
      <c r="X73" s="2025"/>
      <c r="Y73" s="2025"/>
      <c r="Z73" s="2025"/>
      <c r="AA73" s="2025"/>
      <c r="AB73" s="2025"/>
      <c r="AC73" s="2025"/>
    </row>
    <row r="74" spans="1:29" ht="27.75" thickTop="1">
      <c r="A74" s="661"/>
      <c r="B74" s="665" t="s">
        <v>531</v>
      </c>
      <c r="C74" s="666"/>
      <c r="D74" s="666"/>
      <c r="E74" s="666"/>
      <c r="F74" s="666"/>
      <c r="G74" s="666"/>
      <c r="H74" s="666"/>
      <c r="I74" s="666"/>
      <c r="J74" s="666"/>
      <c r="K74" s="667"/>
      <c r="L74" s="668"/>
      <c r="M74" s="669"/>
      <c r="N74" s="3225"/>
      <c r="O74" s="2043"/>
      <c r="P74" s="2044"/>
      <c r="Q74" s="2037"/>
      <c r="R74" s="2025"/>
      <c r="S74" s="2025"/>
      <c r="T74" s="2025"/>
      <c r="U74" s="2025"/>
      <c r="V74" s="2025"/>
      <c r="W74" s="2025"/>
      <c r="X74" s="2025"/>
      <c r="Y74" s="2025"/>
      <c r="Z74" s="2025"/>
      <c r="AA74" s="2025"/>
      <c r="AB74" s="2025"/>
      <c r="AC74" s="2025"/>
    </row>
    <row r="75" spans="1:29" ht="15.75" thickBot="1">
      <c r="A75" s="661"/>
      <c r="B75" s="670"/>
      <c r="C75" s="671"/>
      <c r="D75" s="671"/>
      <c r="E75" s="671"/>
      <c r="F75" s="671"/>
      <c r="G75" s="671"/>
      <c r="H75" s="671"/>
      <c r="I75" s="671"/>
      <c r="J75" s="671"/>
      <c r="K75" s="671"/>
      <c r="L75" s="671"/>
      <c r="M75" s="672"/>
      <c r="N75" s="3226"/>
      <c r="O75" s="2045"/>
      <c r="P75" s="2044"/>
      <c r="Q75" s="2037"/>
      <c r="R75" s="2025"/>
      <c r="S75" s="2025"/>
      <c r="T75" s="2025"/>
      <c r="U75" s="2025"/>
      <c r="V75" s="2025"/>
      <c r="W75" s="2025"/>
      <c r="X75" s="2025"/>
      <c r="Y75" s="2025"/>
      <c r="Z75" s="2025"/>
      <c r="AA75" s="2025"/>
      <c r="AB75" s="2025"/>
      <c r="AC75" s="2025"/>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1"/>
      <c r="B77" s="675"/>
      <c r="C77" s="535"/>
      <c r="D77" s="535"/>
      <c r="E77" s="535"/>
      <c r="F77" s="535"/>
      <c r="G77" s="535"/>
      <c r="H77" s="535"/>
      <c r="I77" s="535"/>
      <c r="J77" s="535"/>
      <c r="K77" s="676"/>
      <c r="L77" s="677"/>
      <c r="M77" s="678"/>
      <c r="N77" s="3225"/>
      <c r="O77" s="2043"/>
      <c r="P77" s="2044"/>
      <c r="Q77" s="2037"/>
      <c r="R77" s="2025"/>
      <c r="S77" s="2025"/>
      <c r="T77" s="2025"/>
      <c r="U77" s="2025"/>
      <c r="V77" s="2025"/>
      <c r="W77" s="2025"/>
      <c r="X77" s="2025"/>
      <c r="Y77" s="2025"/>
      <c r="Z77" s="2025"/>
      <c r="AA77" s="2025"/>
      <c r="AB77" s="2025"/>
      <c r="AC77" s="2025"/>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9"/>
      <c r="B79" s="665">
        <f>B14</f>
        <v>111</v>
      </c>
      <c r="C79" s="680"/>
      <c r="D79" s="680"/>
      <c r="E79" s="680"/>
      <c r="F79" s="680"/>
      <c r="G79" s="680"/>
      <c r="H79" s="681"/>
      <c r="I79" s="681"/>
      <c r="J79" s="681"/>
      <c r="K79" s="681"/>
      <c r="L79" s="682"/>
      <c r="M79" s="683"/>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9"/>
      <c r="B80" s="670"/>
      <c r="C80" s="684"/>
      <c r="D80" s="663"/>
      <c r="E80" s="663"/>
      <c r="F80" s="663"/>
      <c r="G80" s="663"/>
      <c r="H80" s="663"/>
      <c r="I80" s="663"/>
      <c r="J80" s="663"/>
      <c r="K80" s="663"/>
      <c r="L80" s="663"/>
      <c r="M80" s="664"/>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9"/>
      <c r="B81" s="665">
        <f>B15</f>
        <v>111</v>
      </c>
      <c r="C81" s="680"/>
      <c r="D81" s="680"/>
      <c r="E81" s="680"/>
      <c r="F81" s="680"/>
      <c r="G81" s="680"/>
      <c r="H81" s="681"/>
      <c r="I81" s="681"/>
      <c r="J81" s="681"/>
      <c r="K81" s="681"/>
      <c r="L81" s="682"/>
      <c r="M81" s="683"/>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9"/>
      <c r="B82" s="670"/>
      <c r="C82" s="684"/>
      <c r="D82" s="684"/>
      <c r="E82" s="684"/>
      <c r="F82" s="684"/>
      <c r="G82" s="684"/>
      <c r="H82" s="685"/>
      <c r="I82" s="685"/>
      <c r="J82" s="685"/>
      <c r="K82" s="685"/>
      <c r="L82" s="685"/>
      <c r="M82" s="686"/>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9"/>
      <c r="B83" s="673">
        <f>B16</f>
        <v>111</v>
      </c>
      <c r="C83" s="653"/>
      <c r="D83" s="653"/>
      <c r="E83" s="653"/>
      <c r="F83" s="653"/>
      <c r="G83" s="653"/>
      <c r="H83" s="687"/>
      <c r="I83" s="687"/>
      <c r="J83" s="687"/>
      <c r="K83" s="687"/>
      <c r="L83" s="688"/>
      <c r="M83" s="689"/>
      <c r="N83" s="3227"/>
      <c r="O83" s="2046"/>
      <c r="P83" s="2052"/>
      <c r="Q83" s="2048"/>
      <c r="R83" s="2049"/>
      <c r="S83" s="2049"/>
      <c r="T83" s="2049"/>
      <c r="U83" s="2049"/>
      <c r="V83" s="2049"/>
      <c r="W83" s="2049"/>
      <c r="X83" s="2049"/>
      <c r="Y83" s="2049"/>
      <c r="Z83" s="2049"/>
      <c r="AA83" s="2049"/>
      <c r="AB83" s="2049"/>
      <c r="AC83" s="2049"/>
    </row>
    <row r="84" spans="1:29" s="1291" customFormat="1" ht="15.75" thickBot="1">
      <c r="A84" s="690"/>
      <c r="B84" s="691"/>
      <c r="C84" s="692"/>
      <c r="D84" s="692"/>
      <c r="E84" s="692"/>
      <c r="F84" s="692"/>
      <c r="G84" s="692"/>
      <c r="H84" s="693"/>
      <c r="I84" s="693"/>
      <c r="J84" s="693"/>
      <c r="K84" s="693"/>
      <c r="L84" s="693"/>
      <c r="M84" s="694"/>
      <c r="N84" s="3227"/>
      <c r="O84" s="2046"/>
      <c r="P84" s="2047"/>
      <c r="Q84" s="2048"/>
      <c r="R84" s="2049"/>
      <c r="S84" s="2049"/>
      <c r="T84" s="2049"/>
      <c r="U84" s="2049"/>
      <c r="V84" s="2049"/>
      <c r="W84" s="2049"/>
      <c r="X84" s="2049"/>
      <c r="Y84" s="2049"/>
      <c r="Z84" s="2049"/>
      <c r="AA84" s="2049"/>
      <c r="AB84" s="2049"/>
      <c r="AC84" s="2049"/>
    </row>
    <row r="85" spans="1:29">
      <c r="A85" s="656" t="s">
        <v>533</v>
      </c>
      <c r="B85" s="657" t="s">
        <v>596</v>
      </c>
      <c r="C85" s="695" t="s">
        <v>573</v>
      </c>
      <c r="D85" s="695" t="s">
        <v>574</v>
      </c>
      <c r="E85" s="695" t="s">
        <v>575</v>
      </c>
      <c r="F85" s="695" t="s">
        <v>576</v>
      </c>
      <c r="G85" s="695" t="s">
        <v>577</v>
      </c>
      <c r="H85" s="696"/>
      <c r="I85" s="696"/>
      <c r="J85" s="696"/>
      <c r="K85" s="697"/>
      <c r="L85" s="698"/>
      <c r="M85" s="699"/>
      <c r="N85" s="3225"/>
      <c r="O85" s="2043"/>
      <c r="P85" s="2053"/>
      <c r="Q85" s="2037"/>
      <c r="R85" s="2025"/>
      <c r="S85" s="2025"/>
      <c r="T85" s="2025"/>
      <c r="U85" s="2025"/>
      <c r="V85" s="2025"/>
      <c r="W85" s="2025"/>
      <c r="X85" s="2025"/>
      <c r="Y85" s="2025"/>
      <c r="Z85" s="2025"/>
      <c r="AA85" s="2025"/>
      <c r="AB85" s="2025"/>
      <c r="AC85" s="2025"/>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5"/>
      <c r="P86" s="2044"/>
      <c r="Q86" s="2037"/>
      <c r="R86" s="2025"/>
      <c r="S86" s="2025"/>
      <c r="T86" s="2025"/>
      <c r="U86" s="2025"/>
      <c r="V86" s="2025"/>
      <c r="W86" s="2025"/>
      <c r="X86" s="2025"/>
      <c r="Y86" s="2025"/>
      <c r="Z86" s="2025"/>
      <c r="AA86" s="2025"/>
      <c r="AB86" s="2025"/>
      <c r="AC86" s="2025"/>
    </row>
    <row r="87" spans="1:29" ht="15.75" thickTop="1">
      <c r="A87" s="661"/>
      <c r="B87" s="665" t="s">
        <v>580</v>
      </c>
      <c r="C87" s="700" t="s">
        <v>573</v>
      </c>
      <c r="D87" s="700" t="s">
        <v>574</v>
      </c>
      <c r="E87" s="700" t="s">
        <v>575</v>
      </c>
      <c r="F87" s="700" t="s">
        <v>576</v>
      </c>
      <c r="G87" s="700" t="s">
        <v>577</v>
      </c>
      <c r="H87" s="666"/>
      <c r="I87" s="666"/>
      <c r="J87" s="666"/>
      <c r="K87" s="667"/>
      <c r="L87" s="668"/>
      <c r="M87" s="669"/>
      <c r="N87" s="3225"/>
      <c r="O87" s="2043"/>
      <c r="P87" s="2044"/>
      <c r="Q87" s="2037"/>
      <c r="R87" s="2025"/>
      <c r="S87" s="2025"/>
      <c r="T87" s="2025"/>
      <c r="U87" s="2025"/>
      <c r="V87" s="2025"/>
      <c r="W87" s="2025"/>
      <c r="X87" s="2025"/>
      <c r="Y87" s="2025"/>
      <c r="Z87" s="2025"/>
      <c r="AA87" s="2025"/>
      <c r="AB87" s="2025"/>
      <c r="AC87" s="2025"/>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9"/>
      <c r="B93" s="1808" t="s">
        <v>2529</v>
      </c>
      <c r="C93" s="695" t="s">
        <v>573</v>
      </c>
      <c r="D93" s="695" t="s">
        <v>574</v>
      </c>
      <c r="E93" s="695" t="s">
        <v>575</v>
      </c>
      <c r="F93" s="695" t="s">
        <v>576</v>
      </c>
      <c r="G93" s="695" t="s">
        <v>577</v>
      </c>
      <c r="H93" s="705"/>
      <c r="I93" s="705"/>
      <c r="J93" s="705"/>
      <c r="K93" s="705"/>
      <c r="L93" s="706"/>
      <c r="M93" s="707"/>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9"/>
      <c r="B95" s="2439" t="s">
        <v>2531</v>
      </c>
      <c r="C95" s="2440" t="s">
        <v>2532</v>
      </c>
      <c r="D95" s="2440" t="s">
        <v>2533</v>
      </c>
      <c r="E95" s="2440" t="s">
        <v>2534</v>
      </c>
      <c r="F95" s="2440" t="s">
        <v>2535</v>
      </c>
      <c r="G95" s="2440" t="s">
        <v>2536</v>
      </c>
      <c r="H95" s="705"/>
      <c r="I95" s="705"/>
      <c r="J95" s="705"/>
      <c r="K95" s="705"/>
      <c r="L95" s="705"/>
      <c r="M95" s="707"/>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2"/>
      <c r="N96" s="3227"/>
      <c r="O96" s="2046"/>
      <c r="P96" s="2047"/>
      <c r="Q96" s="2048"/>
      <c r="R96" s="2049"/>
      <c r="S96" s="2049"/>
      <c r="T96" s="2049"/>
      <c r="U96" s="2049"/>
      <c r="V96" s="2049"/>
      <c r="W96" s="2049"/>
      <c r="X96" s="2049"/>
      <c r="Y96" s="2049"/>
      <c r="Z96" s="2049"/>
      <c r="AA96" s="2049"/>
      <c r="AB96" s="2049"/>
      <c r="AC96" s="2049"/>
    </row>
    <row r="97" spans="1:29" ht="15.75" thickTop="1">
      <c r="A97" s="661"/>
      <c r="B97" s="665" t="str">
        <f>B29</f>
        <v>临街状况</v>
      </c>
      <c r="C97" s="666" t="s">
        <v>583</v>
      </c>
      <c r="D97" s="666" t="s">
        <v>584</v>
      </c>
      <c r="E97" s="666" t="s">
        <v>585</v>
      </c>
      <c r="F97" s="666" t="s">
        <v>586</v>
      </c>
      <c r="G97" s="666"/>
      <c r="H97" s="666"/>
      <c r="I97" s="666"/>
      <c r="J97" s="666"/>
      <c r="K97" s="667"/>
      <c r="L97" s="668"/>
      <c r="M97" s="669"/>
      <c r="N97" s="3225"/>
      <c r="O97" s="2043"/>
      <c r="P97" s="2044"/>
      <c r="Q97" s="2037"/>
      <c r="R97" s="2025"/>
      <c r="S97" s="2025"/>
      <c r="T97" s="2025"/>
      <c r="U97" s="2025"/>
      <c r="V97" s="2025"/>
      <c r="W97" s="2025"/>
      <c r="X97" s="2025"/>
      <c r="Y97" s="2025"/>
      <c r="Z97" s="2025"/>
      <c r="AA97" s="2025"/>
      <c r="AB97" s="2025"/>
      <c r="AC97" s="2025"/>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1"/>
      <c r="B99" s="665" t="s">
        <v>542</v>
      </c>
      <c r="C99" s="680"/>
      <c r="D99" s="680"/>
      <c r="E99" s="680"/>
      <c r="F99" s="680"/>
      <c r="G99" s="680"/>
      <c r="H99" s="710"/>
      <c r="I99" s="710"/>
      <c r="J99" s="710"/>
      <c r="K99" s="711"/>
      <c r="L99" s="712"/>
      <c r="M99" s="713"/>
      <c r="N99" s="3225"/>
      <c r="O99" s="2043"/>
      <c r="P99" s="2044"/>
      <c r="Q99" s="2037"/>
      <c r="R99" s="2025"/>
      <c r="S99" s="2025"/>
      <c r="T99" s="2025"/>
      <c r="U99" s="2025"/>
      <c r="V99" s="2025"/>
      <c r="W99" s="2025"/>
      <c r="X99" s="2025"/>
      <c r="Y99" s="2025"/>
      <c r="Z99" s="2025"/>
      <c r="AA99" s="2025"/>
      <c r="AB99" s="2025"/>
      <c r="AC99" s="2025"/>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1"/>
      <c r="B101" s="665" t="s">
        <v>543</v>
      </c>
      <c r="C101" s="710"/>
      <c r="D101" s="710"/>
      <c r="E101" s="710"/>
      <c r="F101" s="710"/>
      <c r="G101" s="710"/>
      <c r="H101" s="710"/>
      <c r="I101" s="710"/>
      <c r="J101" s="710"/>
      <c r="K101" s="711"/>
      <c r="L101" s="712"/>
      <c r="M101" s="713"/>
      <c r="N101" s="3225"/>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1"/>
      <c r="B103" s="673">
        <f>B33</f>
        <v>111</v>
      </c>
      <c r="C103" s="680"/>
      <c r="D103" s="680"/>
      <c r="E103" s="680"/>
      <c r="F103" s="680"/>
      <c r="G103" s="714"/>
      <c r="H103" s="714"/>
      <c r="I103" s="714"/>
      <c r="J103" s="714"/>
      <c r="K103" s="715"/>
      <c r="L103" s="716"/>
      <c r="M103" s="717"/>
      <c r="N103" s="3225"/>
      <c r="O103" s="2043"/>
      <c r="P103" s="2044"/>
      <c r="Q103" s="2037"/>
      <c r="R103" s="2025"/>
      <c r="S103" s="2025"/>
      <c r="T103" s="2025"/>
      <c r="U103" s="2025"/>
      <c r="V103" s="2025"/>
      <c r="W103" s="2025"/>
      <c r="X103" s="2025"/>
      <c r="Y103" s="2025"/>
      <c r="Z103" s="2025"/>
      <c r="AA103" s="2025"/>
      <c r="AB103" s="2025"/>
      <c r="AC103" s="2025"/>
    </row>
    <row r="104" spans="1:29" ht="15.75" thickBot="1">
      <c r="A104" s="661"/>
      <c r="B104" s="691"/>
      <c r="C104" s="684"/>
      <c r="D104" s="663"/>
      <c r="E104" s="663"/>
      <c r="F104" s="663"/>
      <c r="G104" s="718"/>
      <c r="H104" s="718"/>
      <c r="I104" s="718"/>
      <c r="J104" s="718"/>
      <c r="K104" s="718"/>
      <c r="L104" s="718"/>
      <c r="M104" s="719"/>
      <c r="N104" s="3226"/>
      <c r="O104" s="2045"/>
      <c r="P104" s="2044"/>
      <c r="Q104" s="2037"/>
      <c r="R104" s="2025"/>
      <c r="S104" s="2025"/>
      <c r="T104" s="2025"/>
      <c r="U104" s="2025"/>
      <c r="V104" s="2025"/>
      <c r="W104" s="2025"/>
      <c r="X104" s="2025"/>
      <c r="Y104" s="2025"/>
      <c r="Z104" s="2025"/>
      <c r="AA104" s="2025"/>
      <c r="AB104" s="2025"/>
      <c r="AC104" s="2025"/>
    </row>
    <row r="105" spans="1:29" ht="15" thickTop="1">
      <c r="A105" s="581"/>
      <c r="B105" s="665">
        <f>B34</f>
        <v>111</v>
      </c>
      <c r="C105" s="680"/>
      <c r="D105" s="680"/>
      <c r="E105" s="680"/>
      <c r="F105" s="680"/>
      <c r="G105" s="710"/>
      <c r="H105" s="710"/>
      <c r="I105" s="710"/>
      <c r="J105" s="710"/>
      <c r="K105" s="711"/>
      <c r="L105" s="712"/>
      <c r="M105" s="713"/>
      <c r="N105" s="3225"/>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84"/>
      <c r="D106" s="684"/>
      <c r="E106" s="684"/>
      <c r="F106" s="684"/>
      <c r="G106" s="663"/>
      <c r="H106" s="663"/>
      <c r="I106" s="663"/>
      <c r="J106" s="663"/>
      <c r="K106" s="663"/>
      <c r="L106" s="663"/>
      <c r="M106" s="664"/>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20"/>
      <c r="B107" s="721">
        <f>B35</f>
        <v>111</v>
      </c>
      <c r="C107" s="653"/>
      <c r="D107" s="653"/>
      <c r="E107" s="653"/>
      <c r="F107" s="653"/>
      <c r="G107" s="722"/>
      <c r="H107" s="722"/>
      <c r="I107" s="722"/>
      <c r="J107" s="723"/>
      <c r="K107" s="723"/>
      <c r="L107" s="724"/>
      <c r="M107" s="725"/>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9"/>
      <c r="B108" s="673"/>
      <c r="C108" s="692"/>
      <c r="D108" s="692"/>
      <c r="E108" s="692"/>
      <c r="F108" s="692"/>
      <c r="G108" s="586"/>
      <c r="H108" s="586"/>
      <c r="I108" s="586"/>
      <c r="J108" s="586"/>
      <c r="K108" s="586"/>
      <c r="L108" s="586"/>
      <c r="M108" s="726"/>
      <c r="N108" s="3226"/>
      <c r="O108" s="2045"/>
      <c r="P108" s="2047"/>
      <c r="Q108" s="2048"/>
      <c r="R108" s="2049"/>
      <c r="S108" s="2049"/>
      <c r="T108" s="2049"/>
      <c r="U108" s="2049"/>
      <c r="V108" s="2049"/>
      <c r="W108" s="2049"/>
      <c r="X108" s="2049"/>
      <c r="Y108" s="2049"/>
      <c r="Z108" s="2049"/>
      <c r="AA108" s="2049"/>
      <c r="AB108" s="2049"/>
      <c r="AC108" s="2049"/>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6" t="str">
        <f t="shared" si="25"/>
        <v>(含)-</v>
      </c>
      <c r="L109" s="2777" t="str">
        <f t="shared" si="25"/>
        <v>(含)-</v>
      </c>
      <c r="M109" s="2778"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1"/>
      <c r="B110" s="673"/>
      <c r="C110" s="722"/>
      <c r="D110" s="722"/>
      <c r="E110" s="722"/>
      <c r="F110" s="722"/>
      <c r="G110" s="722"/>
      <c r="H110" s="722"/>
      <c r="I110" s="722"/>
      <c r="J110" s="723"/>
      <c r="K110" s="723"/>
      <c r="L110" s="724"/>
      <c r="M110" s="725"/>
      <c r="N110" s="3225"/>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92"/>
      <c r="D111" s="718"/>
      <c r="E111" s="718"/>
      <c r="F111" s="718"/>
      <c r="G111" s="718"/>
      <c r="H111" s="718"/>
      <c r="I111" s="718"/>
      <c r="J111" s="718"/>
      <c r="K111" s="718"/>
      <c r="L111" s="718"/>
      <c r="M111" s="719"/>
      <c r="N111" s="3226"/>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5"/>
      <c r="O112" s="2043"/>
      <c r="P112" s="2044"/>
      <c r="Q112" s="2037"/>
      <c r="R112" s="2025"/>
      <c r="S112" s="2025"/>
      <c r="T112" s="2025"/>
      <c r="U112" s="2025"/>
      <c r="V112" s="2025"/>
      <c r="W112" s="2025"/>
      <c r="X112" s="2025"/>
      <c r="Y112" s="2025"/>
      <c r="Z112" s="2025"/>
      <c r="AA112" s="2025"/>
      <c r="AB112" s="2025"/>
      <c r="AC112" s="2025"/>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2410</v>
      </c>
      <c r="C114" s="1324"/>
      <c r="D114" s="1324"/>
      <c r="E114" s="1324"/>
      <c r="F114" s="1324"/>
      <c r="G114" s="1324"/>
      <c r="H114" s="710"/>
      <c r="I114" s="710"/>
      <c r="J114" s="710"/>
      <c r="K114" s="711"/>
      <c r="L114" s="712"/>
      <c r="M114" s="713"/>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5"/>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7"/>
      <c r="B118" s="665">
        <f>B40</f>
        <v>111</v>
      </c>
      <c r="C118" s="680"/>
      <c r="D118" s="680"/>
      <c r="E118" s="680"/>
      <c r="F118" s="680"/>
      <c r="G118" s="680"/>
      <c r="H118" s="710"/>
      <c r="I118" s="710"/>
      <c r="J118" s="710"/>
      <c r="K118" s="711"/>
      <c r="L118" s="712"/>
      <c r="M118" s="713"/>
      <c r="N118" s="3225"/>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3226"/>
      <c r="O119" s="2045"/>
      <c r="P119" s="2044"/>
      <c r="Q119" s="2037"/>
      <c r="R119" s="2025"/>
      <c r="S119" s="2025"/>
      <c r="T119" s="2025"/>
      <c r="U119" s="2025"/>
      <c r="V119" s="2025"/>
      <c r="W119" s="2025"/>
      <c r="X119" s="2025"/>
      <c r="Y119" s="2025"/>
      <c r="Z119" s="2025"/>
      <c r="AA119" s="2025"/>
      <c r="AB119" s="2025"/>
      <c r="AC119" s="2025"/>
    </row>
    <row r="120" spans="1:29" ht="15" thickTop="1">
      <c r="A120" s="727"/>
      <c r="B120" s="665">
        <f>B41</f>
        <v>111</v>
      </c>
      <c r="C120" s="680"/>
      <c r="D120" s="680"/>
      <c r="E120" s="680"/>
      <c r="F120" s="680"/>
      <c r="G120" s="710"/>
      <c r="H120" s="710"/>
      <c r="I120" s="710"/>
      <c r="J120" s="710"/>
      <c r="K120" s="711"/>
      <c r="L120" s="712"/>
      <c r="M120" s="713"/>
      <c r="N120" s="3225"/>
      <c r="O120" s="2043"/>
      <c r="P120" s="2044"/>
      <c r="Q120" s="2037"/>
      <c r="R120" s="2025"/>
      <c r="S120" s="2025"/>
      <c r="T120" s="2025"/>
      <c r="U120" s="2025"/>
      <c r="V120" s="2025"/>
      <c r="W120" s="2025"/>
      <c r="X120" s="2025"/>
      <c r="Y120" s="2025"/>
      <c r="Z120" s="2025"/>
      <c r="AA120" s="2025"/>
      <c r="AB120" s="2025"/>
      <c r="AC120" s="2025"/>
    </row>
    <row r="121" spans="1:29" ht="15.75" thickBot="1">
      <c r="A121" s="661"/>
      <c r="B121" s="670"/>
      <c r="C121" s="684"/>
      <c r="D121" s="684"/>
      <c r="E121" s="684"/>
      <c r="F121" s="684"/>
      <c r="G121" s="663"/>
      <c r="H121" s="663"/>
      <c r="I121" s="663"/>
      <c r="J121" s="663"/>
      <c r="K121" s="663"/>
      <c r="L121" s="663"/>
      <c r="M121" s="664"/>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20"/>
      <c r="B122" s="665">
        <f>B42</f>
        <v>111</v>
      </c>
      <c r="C122" s="653"/>
      <c r="D122" s="653"/>
      <c r="E122" s="653"/>
      <c r="F122" s="653"/>
      <c r="G122" s="681"/>
      <c r="H122" s="681"/>
      <c r="I122" s="681"/>
      <c r="J122" s="681"/>
      <c r="K122" s="681"/>
      <c r="L122" s="682"/>
      <c r="M122" s="683"/>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90"/>
      <c r="B123" s="728"/>
      <c r="C123" s="692"/>
      <c r="D123" s="692"/>
      <c r="E123" s="692"/>
      <c r="F123" s="692"/>
      <c r="G123" s="718"/>
      <c r="H123" s="718"/>
      <c r="I123" s="718"/>
      <c r="J123" s="718"/>
      <c r="K123" s="718"/>
      <c r="L123" s="718"/>
      <c r="M123" s="719"/>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0</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3"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1678</v>
      </c>
      <c r="B3" s="1023" t="e">
        <f>ROUND(B2*10000/D1,0)</f>
        <v>#DIV/0!</v>
      </c>
      <c r="C3" s="1353" t="s">
        <v>918</v>
      </c>
      <c r="D3" s="1354" t="s">
        <v>919</v>
      </c>
      <c r="E3" s="1358"/>
      <c r="F3" s="1359"/>
      <c r="G3" s="1024">
        <f>IF(F3="宗地容积率",'数据-汇总表'!I4,IF(F3="估价对象容积率",'数据-汇总表'!I6,'数据-汇总表'!I7))</f>
        <v>0</v>
      </c>
      <c r="H3" s="1360" t="s">
        <v>920</v>
      </c>
      <c r="I3" s="1025">
        <v>8</v>
      </c>
      <c r="J3" s="1356"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1814</v>
      </c>
      <c r="B5" s="1361" t="s">
        <v>922</v>
      </c>
      <c r="C5" s="1026" t="e">
        <f>ROUND(IF(E2="商业",C6*C7+C16,(IF(E2="住宅",C6*C12+C16,C6+C16))),0)</f>
        <v>#DIV/0!</v>
      </c>
      <c r="D5" s="2789" t="e">
        <f>ROUND(C6+C16,0)</f>
        <v>#DIV/0!</v>
      </c>
      <c r="E5" s="2789"/>
      <c r="F5" s="1362"/>
      <c r="G5" s="1363"/>
      <c r="H5" s="1363"/>
      <c r="I5" s="1363"/>
      <c r="J5" s="1364"/>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7">
        <f>SUMIF(L1:L12,基准地价!G2,M1:M12)</f>
        <v>0</v>
      </c>
      <c r="D6" s="1369" t="s">
        <v>1686</v>
      </c>
      <c r="E6" s="1370"/>
      <c r="F6" s="1370"/>
      <c r="G6" s="1371"/>
      <c r="H6" s="1371"/>
      <c r="I6" s="1371"/>
      <c r="J6" s="1372"/>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46" t="str">
        <f>IF(E2="商业",IF(C8="不临58条商业街","",2),"")</f>
        <v/>
      </c>
      <c r="B7" s="1373" t="s">
        <v>923</v>
      </c>
      <c r="C7" s="1028" t="e">
        <f>IF(C8="不临58条商业街",1,ROUND(1+(1.6*E8+1.2*E9+0.8*E10+0.4*E11)*C9,4))</f>
        <v>#DIV/0!</v>
      </c>
      <c r="D7" s="1374" t="s">
        <v>924</v>
      </c>
      <c r="E7" s="1029"/>
      <c r="F7" s="1375"/>
      <c r="G7" s="1376"/>
      <c r="H7" s="1376"/>
      <c r="I7" s="1376"/>
      <c r="J7" s="1377"/>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2744</v>
      </c>
      <c r="X7" s="2642">
        <f>G2</f>
        <v>0</v>
      </c>
      <c r="Y7" s="2642" t="s">
        <v>2745</v>
      </c>
      <c r="Z7" s="2643">
        <f>G3</f>
        <v>0</v>
      </c>
      <c r="AA7" s="2071"/>
      <c r="AB7" s="2071"/>
      <c r="AC7" s="2072"/>
      <c r="AD7" s="2644"/>
      <c r="AE7" s="2644"/>
      <c r="AF7" s="2644"/>
      <c r="AG7" s="2644"/>
      <c r="AH7" s="2644"/>
      <c r="AI7" s="2644"/>
      <c r="AJ7" s="2645"/>
    </row>
    <row r="8" spans="1:39" ht="15">
      <c r="A8" s="3547"/>
      <c r="B8" s="1360" t="s">
        <v>925</v>
      </c>
      <c r="C8" s="1466"/>
      <c r="D8" s="1030" t="s">
        <v>926</v>
      </c>
      <c r="E8" s="1031" t="e">
        <f>ROUND(C11/E7,4)</f>
        <v>#DIV/0!</v>
      </c>
      <c r="F8" s="1378" t="s">
        <v>927</v>
      </c>
      <c r="G8" s="1379"/>
      <c r="H8" s="1379"/>
      <c r="I8" s="1379"/>
      <c r="J8" s="1380"/>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533" t="s">
        <v>2762</v>
      </c>
      <c r="X8" s="3534"/>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47"/>
      <c r="B9" s="1360" t="s">
        <v>928</v>
      </c>
      <c r="C9" s="1032">
        <f>SUMIF(修正!C59:C119,C8,修正!E59:E119)</f>
        <v>0</v>
      </c>
      <c r="D9" s="1033" t="s">
        <v>929</v>
      </c>
      <c r="E9" s="1033" t="e">
        <f>ROUND(C11/E7,4)</f>
        <v>#DIV/0!</v>
      </c>
      <c r="F9" s="1378" t="s">
        <v>930</v>
      </c>
      <c r="G9" s="1379"/>
      <c r="H9" s="1379"/>
      <c r="I9" s="1379"/>
      <c r="J9" s="1380"/>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532" t="s">
        <v>2758</v>
      </c>
      <c r="X9" s="2646" t="s">
        <v>2759</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47"/>
      <c r="B10" s="1360" t="s">
        <v>931</v>
      </c>
      <c r="C10" s="1033">
        <f>SUMIF(修正!C59:C119,C8,修正!F59:F119)</f>
        <v>0</v>
      </c>
      <c r="D10" s="1033" t="s">
        <v>932</v>
      </c>
      <c r="E10" s="1033" t="e">
        <f>ROUND(C11/E7,4)</f>
        <v>#DIV/0!</v>
      </c>
      <c r="F10" s="1378" t="s">
        <v>933</v>
      </c>
      <c r="G10" s="1379"/>
      <c r="H10" s="1379"/>
      <c r="I10" s="1379"/>
      <c r="J10" s="1380"/>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53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47"/>
      <c r="B11" s="1381" t="s">
        <v>934</v>
      </c>
      <c r="C11" s="1034">
        <f>C10/4</f>
        <v>0</v>
      </c>
      <c r="D11" s="1034" t="s">
        <v>935</v>
      </c>
      <c r="E11" s="1034" t="e">
        <f>ROUND(C11/E7,4)</f>
        <v>#DIV/0!</v>
      </c>
      <c r="F11" s="1382" t="s">
        <v>936</v>
      </c>
      <c r="G11" s="1383"/>
      <c r="H11" s="1383"/>
      <c r="I11" s="1383"/>
      <c r="J11" s="1384"/>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532" t="s">
        <v>2760</v>
      </c>
      <c r="X11" s="1033" t="s">
        <v>2745</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46" t="s">
        <v>1862</v>
      </c>
      <c r="B12" s="1385" t="s">
        <v>937</v>
      </c>
      <c r="C12" s="1028">
        <f>ROUND(C15*D15*E15*F15*G15*H15*I15*J15,4)</f>
        <v>1</v>
      </c>
      <c r="D12" s="1386" t="s">
        <v>938</v>
      </c>
      <c r="E12" s="1387"/>
      <c r="F12" s="1387"/>
      <c r="G12" s="1388"/>
      <c r="H12" s="1388"/>
      <c r="I12" s="1388"/>
      <c r="J12" s="1389"/>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532"/>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8"/>
      <c r="B13" s="1390" t="s">
        <v>1687</v>
      </c>
      <c r="C13" s="1391" t="s">
        <v>1688</v>
      </c>
      <c r="D13" s="1070" t="s">
        <v>1689</v>
      </c>
      <c r="E13" s="1070" t="s">
        <v>1690</v>
      </c>
      <c r="F13" s="1392" t="s">
        <v>939</v>
      </c>
      <c r="G13" s="1393" t="s">
        <v>1633</v>
      </c>
      <c r="H13" s="1394" t="s">
        <v>1633</v>
      </c>
      <c r="I13" s="1395" t="s">
        <v>1633</v>
      </c>
      <c r="J13" s="1396" t="s">
        <v>1633</v>
      </c>
      <c r="K13" s="2839"/>
      <c r="L13" s="2839"/>
      <c r="M13" s="2839"/>
      <c r="N13" s="2839"/>
      <c r="O13" s="2839"/>
      <c r="P13" s="2068"/>
      <c r="Q13" s="2068"/>
      <c r="R13" s="2652">
        <v>12</v>
      </c>
      <c r="S13" s="2641"/>
      <c r="T13" s="2652" t="e">
        <f t="shared" si="0"/>
        <v>#DIV/0!</v>
      </c>
      <c r="U13" s="2641"/>
      <c r="V13" s="2652" t="e">
        <f t="shared" si="1"/>
        <v>#DIV/0!</v>
      </c>
      <c r="W13" s="3532"/>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48"/>
      <c r="B14" s="1397"/>
      <c r="C14" s="1398"/>
      <c r="D14" s="1399"/>
      <c r="E14" s="1399"/>
      <c r="F14" s="1400"/>
      <c r="G14" s="1401" t="s">
        <v>940</v>
      </c>
      <c r="H14" s="1402"/>
      <c r="I14" s="1403"/>
      <c r="J14" s="1404"/>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49"/>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46" t="s">
        <v>1829</v>
      </c>
      <c r="B16" s="1373" t="s">
        <v>941</v>
      </c>
      <c r="C16" s="1037" t="e">
        <f>ROUND(IF(F17="与级别开发程度一致",0,(G17-E17)/C17),0)</f>
        <v>#DIV/0!</v>
      </c>
      <c r="D16" s="3540" t="s">
        <v>945</v>
      </c>
      <c r="E16" s="3541"/>
      <c r="F16" s="3540" t="s">
        <v>942</v>
      </c>
      <c r="G16" s="3541"/>
      <c r="H16" s="1405"/>
      <c r="I16" s="1405"/>
      <c r="J16" s="1405"/>
      <c r="K16" s="1405"/>
      <c r="L16" s="1405"/>
      <c r="M16" s="1405"/>
      <c r="N16" s="1405"/>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50"/>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8">
        <f>ROUND(IF(H19="按公示增长率计算",SUMPRODUCT((地价!A3:A33=YEAR(G19)&amp;"-"&amp;ROUNDUP(MONTH(G19)/3,0))*(地价!X2:AB2=E2)*(地价!X3:AB33)),IF(H19="地价指数",M20/M19,(1+I19)^O19)),4)</f>
        <v>0</v>
      </c>
      <c r="D19" s="1412" t="s">
        <v>948</v>
      </c>
      <c r="E19" s="1039">
        <v>41640</v>
      </c>
      <c r="F19" s="1412" t="s">
        <v>949</v>
      </c>
      <c r="G19" s="1040">
        <f>'数据-取费表'!B2</f>
        <v>44295</v>
      </c>
      <c r="H19" s="1413" t="s">
        <v>2944</v>
      </c>
      <c r="I19" s="2501" t="str">
        <f>IF(H19="季度增幅（自定义）",SUMIF(N21:N24,E2,O21:O24),"")</f>
        <v/>
      </c>
      <c r="J19" s="1409"/>
      <c r="K19" s="3230"/>
      <c r="L19" s="2749" t="s">
        <v>2820</v>
      </c>
      <c r="M19" s="2750">
        <f>ROUND(SUMIF(地价!B2:F2,E2,地价!B33:F33),0)</f>
        <v>0</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t="e">
        <f>ROUND(POWER(1+G20,J20-I20)*(POWER(1+G20,I20)-1)/(POWER(1+G20,J20)-1),4)</f>
        <v>#DIV/0!</v>
      </c>
      <c r="D20" s="2498" t="s">
        <v>963</v>
      </c>
      <c r="E20" s="2779">
        <f ca="1">存贷款利率!I4/100</f>
        <v>3.85E-2</v>
      </c>
      <c r="F20" s="2498" t="s">
        <v>964</v>
      </c>
      <c r="G20" s="2499">
        <f>SUMIF(M26:P26,E2,M28:P28)</f>
        <v>0</v>
      </c>
      <c r="H20" s="2498" t="s">
        <v>965</v>
      </c>
      <c r="I20" s="2494" t="e">
        <f>SUMIF('数据-取费表'!C6:C15,E2,'数据-取费表'!F6:F15)/COUNTIF('数据-取费表'!C6:C15,E2)</f>
        <v>#DIV/0!</v>
      </c>
      <c r="J20" s="2500">
        <f>IF(E2="住宅",70,IF(E2="商业",40,50))</f>
        <v>50</v>
      </c>
      <c r="K20" s="2840"/>
      <c r="L20" s="2751" t="s">
        <v>2821</v>
      </c>
      <c r="M20" s="2833">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2979</v>
      </c>
      <c r="C21" s="1139" t="b">
        <f>IF(B21="容积率修正",IF(G3&lt;=10,D22,J22),C23)</f>
        <v>0</v>
      </c>
      <c r="D21" s="1419"/>
      <c r="E21" s="1419"/>
      <c r="F21" s="1419"/>
      <c r="G21" s="1419"/>
      <c r="H21" s="1419"/>
      <c r="I21" s="1419"/>
      <c r="J21" s="1420"/>
      <c r="K21" s="3230"/>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2">
        <f>ROUND(IF(G3&gt;1,IF(I3&lt;7,SUMPRODUCT((B93:B98=I3)*(C92:N92=G2)*(C93:N98)),SUMIF(C92:N92,G2,C100:N100)),IF(I3&lt;7,SUMPRODUCT((B102:B107=I3)*(C92:N92=G2)*(C102:N107)),SUMIF(C92:N92,G2,C109:N109))),4)</f>
        <v>0</v>
      </c>
      <c r="D23" s="1467"/>
      <c r="E23" s="1467"/>
      <c r="F23" s="1468"/>
      <c r="G23" s="1469"/>
      <c r="H23" s="1470"/>
      <c r="I23" s="1471"/>
      <c r="J23" s="1471"/>
      <c r="K23" s="3237"/>
      <c r="L23" s="1347"/>
      <c r="M23" s="1347"/>
      <c r="N23" s="1416" t="s">
        <v>914</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3">
        <f>SUMIF(A44:A87,E2,B44:B87)</f>
        <v>0</v>
      </c>
      <c r="D24" s="1472"/>
      <c r="E24" s="1473"/>
      <c r="F24" s="1473"/>
      <c r="G24" s="1473"/>
      <c r="H24" s="1473"/>
      <c r="I24" s="1473"/>
      <c r="J24" s="1473"/>
      <c r="K24" s="3237"/>
      <c r="L24" s="1419"/>
      <c r="M24" s="1419"/>
      <c r="N24" s="1416" t="s">
        <v>972</v>
      </c>
      <c r="O24" s="2832"/>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1"/>
      <c r="L25" s="2074"/>
      <c r="M25" s="2074"/>
      <c r="N25" s="2834" t="s">
        <v>2628</v>
      </c>
      <c r="O25" s="2835"/>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3" t="e">
        <f>IF(B21="容积率修正",E29+SUM(E33:E39),SUM(V2:V16)+SUM(E33:E39))</f>
        <v>#DIV/0!</v>
      </c>
      <c r="D26" s="1427"/>
      <c r="E26" s="1402"/>
      <c r="F26" s="1428"/>
      <c r="G26" s="1402"/>
      <c r="H26" s="1402"/>
      <c r="I26" s="1402"/>
      <c r="J26" s="1429"/>
      <c r="K26" s="3231"/>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t="e">
        <f>E30+SUM(I33:I39)</f>
        <v>#DIV/0!</v>
      </c>
      <c r="D27" s="1431"/>
      <c r="E27" s="1432"/>
      <c r="F27" s="1433"/>
      <c r="G27" s="1432"/>
      <c r="H27" s="1432"/>
      <c r="I27" s="1432"/>
      <c r="J27" s="1434"/>
      <c r="K27" s="3231"/>
      <c r="L27" s="1406" t="s">
        <v>978</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1"/>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4" t="e">
        <f>ROUND(C5*C18*C19*C20*C21*C24,0)</f>
        <v>#DIV/0!</v>
      </c>
      <c r="D29" s="1441"/>
      <c r="E29" s="1761" t="e">
        <f>ROUND(C29*D29/10000,0)</f>
        <v>#DIV/0!</v>
      </c>
      <c r="F29" s="1442" t="s">
        <v>1692</v>
      </c>
      <c r="G29" s="1443"/>
      <c r="H29" s="1443"/>
      <c r="I29" s="1443"/>
      <c r="J29" s="1444"/>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6" t="e">
        <f>ROUND(IF(E2="工业",C29*M39,C29*M38),0)</f>
        <v>#DIV/0!</v>
      </c>
      <c r="D30" s="1447"/>
      <c r="E30" s="1761" t="e">
        <f>ROUND(C30*D30/10000,0)</f>
        <v>#DIV/0!</v>
      </c>
      <c r="F30" s="1448" t="s">
        <v>986</v>
      </c>
      <c r="G30" s="1449"/>
      <c r="H30" s="1449"/>
      <c r="I30" s="1449"/>
      <c r="J30" s="1450"/>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42"/>
      <c r="B33" s="1461" t="s">
        <v>990</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42" t="s">
        <v>2983</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43"/>
      <c r="B34" s="1391" t="s">
        <v>991</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43"/>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43"/>
      <c r="B35" s="1391" t="s">
        <v>992</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43"/>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44"/>
      <c r="B36" s="1391" t="s">
        <v>993</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44"/>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9" t="s">
        <v>2938</v>
      </c>
      <c r="C41" s="828" t="e">
        <f>ROUND(POWER(1+E41,H41-G41)*(POWER(1+E41,G41)-1)/(POWER(1+E41,H41)-1),4)</f>
        <v>#DIV/0!</v>
      </c>
      <c r="D41" s="372" t="s">
        <v>2936</v>
      </c>
      <c r="E41" s="2828">
        <f>G20</f>
        <v>0</v>
      </c>
      <c r="F41" s="372" t="s">
        <v>2937</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1014</v>
      </c>
      <c r="B50" s="2781"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1016</v>
      </c>
      <c r="B52" s="2780"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1014</v>
      </c>
      <c r="B61" s="2781"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1016</v>
      </c>
      <c r="B63" s="2780"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1016</v>
      </c>
      <c r="B75" s="2780"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1027</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1016</v>
      </c>
      <c r="B86" s="2780"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51" t="s">
        <v>1624</v>
      </c>
      <c r="B90" s="3551"/>
      <c r="C90" s="3551"/>
      <c r="D90" s="3551"/>
      <c r="E90" s="3551"/>
      <c r="F90" s="3551"/>
      <c r="G90" s="3551"/>
      <c r="H90" s="3551"/>
      <c r="I90" s="3551"/>
      <c r="J90" s="3551"/>
      <c r="K90" s="2303"/>
      <c r="L90" s="2303"/>
      <c r="M90" s="2303"/>
      <c r="N90" s="2303"/>
    </row>
    <row r="91" spans="1:40">
      <c r="A91" s="3552" t="s">
        <v>1434</v>
      </c>
      <c r="B91" s="3552" t="s">
        <v>1625</v>
      </c>
      <c r="C91" s="1121" t="s">
        <v>1626</v>
      </c>
      <c r="D91" s="1122"/>
      <c r="E91" s="1122"/>
      <c r="F91" s="1122"/>
      <c r="G91" s="1122"/>
      <c r="H91" s="1122"/>
      <c r="I91" s="1122"/>
      <c r="J91" s="1123"/>
      <c r="K91" s="1115"/>
      <c r="L91" s="1115"/>
      <c r="M91" s="1115"/>
      <c r="N91" s="1115"/>
    </row>
    <row r="92" spans="1:40">
      <c r="A92" s="3552"/>
      <c r="B92" s="3552"/>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35"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3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3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3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3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3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36"/>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37"/>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35"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36"/>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36"/>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36"/>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36"/>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36"/>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36"/>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36"/>
      <c r="B108" s="3538"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37"/>
      <c r="B109" s="3539"/>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45" t="s">
        <v>1630</v>
      </c>
      <c r="B110" s="3545"/>
      <c r="C110" s="3545"/>
      <c r="D110" s="3545"/>
      <c r="E110" s="3545"/>
      <c r="F110" s="3545"/>
      <c r="G110" s="3545"/>
      <c r="H110" s="3545"/>
      <c r="I110" s="3545"/>
      <c r="J110" s="3545"/>
      <c r="K110" s="2301"/>
      <c r="L110" s="2301"/>
      <c r="M110" s="2301"/>
      <c r="N110" s="2301"/>
    </row>
    <row r="112" spans="1:14" ht="12.75" thickBot="1"/>
    <row r="113" spans="1:13" ht="25.5" thickBot="1">
      <c r="A113" s="1001" t="s">
        <v>887</v>
      </c>
      <c r="B113" s="2304">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7" customFormat="1" ht="19.5" customHeight="1">
      <c r="A18" s="3552" t="s">
        <v>998</v>
      </c>
      <c r="B18" s="1135" t="s">
        <v>1437</v>
      </c>
      <c r="C18" s="1112" t="s">
        <v>1438</v>
      </c>
      <c r="D18" s="1113"/>
      <c r="E18" s="1135">
        <v>1</v>
      </c>
      <c r="F18" s="1114" t="s">
        <v>1439</v>
      </c>
      <c r="G18" s="1115"/>
      <c r="H18" s="1086"/>
      <c r="I18" s="1086"/>
    </row>
    <row r="19" spans="1:9" s="1527" customFormat="1" ht="19.5" customHeight="1">
      <c r="A19" s="3552"/>
      <c r="B19" s="3552" t="s">
        <v>1440</v>
      </c>
      <c r="C19" s="1112" t="s">
        <v>1441</v>
      </c>
      <c r="D19" s="1113"/>
      <c r="E19" s="1135">
        <v>0.9</v>
      </c>
      <c r="F19" s="1114" t="s">
        <v>1442</v>
      </c>
      <c r="G19" s="1115"/>
      <c r="H19" s="1086"/>
      <c r="I19" s="1086"/>
    </row>
    <row r="20" spans="1:9" s="1527" customFormat="1" ht="19.5" customHeight="1">
      <c r="A20" s="3552"/>
      <c r="B20" s="3552"/>
      <c r="C20" s="1112" t="s">
        <v>1443</v>
      </c>
      <c r="D20" s="1113"/>
      <c r="E20" s="1135">
        <v>1.1000000000000001</v>
      </c>
      <c r="F20" s="1114" t="s">
        <v>1444</v>
      </c>
      <c r="G20" s="1115"/>
      <c r="H20" s="1086"/>
      <c r="I20" s="1086"/>
    </row>
    <row r="21" spans="1:9" s="1527" customFormat="1" ht="19.5" customHeight="1">
      <c r="A21" s="3552"/>
      <c r="B21" s="3552"/>
      <c r="C21" s="1112" t="s">
        <v>1445</v>
      </c>
      <c r="D21" s="1113"/>
      <c r="E21" s="1135">
        <v>0.8</v>
      </c>
      <c r="F21" s="1114" t="s">
        <v>1446</v>
      </c>
      <c r="G21" s="1115"/>
      <c r="H21" s="1086"/>
      <c r="I21" s="1086"/>
    </row>
    <row r="22" spans="1:9" s="1527" customFormat="1" ht="19.5" customHeight="1">
      <c r="A22" s="3552"/>
      <c r="B22" s="3552"/>
      <c r="C22" s="1112" t="s">
        <v>1447</v>
      </c>
      <c r="D22" s="1113"/>
      <c r="E22" s="1135">
        <v>0.5</v>
      </c>
      <c r="F22" s="1114"/>
      <c r="G22" s="1115"/>
      <c r="H22" s="1086"/>
      <c r="I22" s="1086"/>
    </row>
    <row r="23" spans="1:9" s="1527" customFormat="1" ht="19.5" customHeight="1">
      <c r="A23" s="3552" t="s">
        <v>1020</v>
      </c>
      <c r="B23" s="1135" t="s">
        <v>1437</v>
      </c>
      <c r="C23" s="1112" t="s">
        <v>1448</v>
      </c>
      <c r="D23" s="1113"/>
      <c r="E23" s="1135">
        <v>1</v>
      </c>
      <c r="F23" s="1114" t="s">
        <v>1449</v>
      </c>
      <c r="G23" s="1115"/>
      <c r="H23" s="1086"/>
      <c r="I23" s="1086"/>
    </row>
    <row r="24" spans="1:9" s="1527" customFormat="1" ht="19.5" customHeight="1">
      <c r="A24" s="3552"/>
      <c r="B24" s="3552" t="s">
        <v>1440</v>
      </c>
      <c r="C24" s="1112" t="s">
        <v>1450</v>
      </c>
      <c r="D24" s="1113"/>
      <c r="E24" s="1135">
        <v>0.5</v>
      </c>
      <c r="F24" s="1114"/>
      <c r="G24" s="1115"/>
      <c r="H24" s="1086"/>
      <c r="I24" s="1086"/>
    </row>
    <row r="25" spans="1:9" s="1527" customFormat="1" ht="19.5" customHeight="1">
      <c r="A25" s="3552"/>
      <c r="B25" s="3552"/>
      <c r="C25" s="1112" t="s">
        <v>1451</v>
      </c>
      <c r="D25" s="1113"/>
      <c r="E25" s="1135">
        <v>1.1000000000000001</v>
      </c>
      <c r="F25" s="1114"/>
      <c r="G25" s="1115"/>
      <c r="H25" s="1086"/>
      <c r="I25" s="1086"/>
    </row>
    <row r="26" spans="1:9" s="1527" customFormat="1" ht="19.5" customHeight="1">
      <c r="A26" s="3552"/>
      <c r="B26" s="3552"/>
      <c r="C26" s="1112" t="s">
        <v>1452</v>
      </c>
      <c r="D26" s="1113"/>
      <c r="E26" s="1135">
        <v>1.1000000000000001</v>
      </c>
      <c r="F26" s="1114"/>
      <c r="G26" s="1115"/>
      <c r="H26" s="1086"/>
      <c r="I26" s="1086"/>
    </row>
    <row r="27" spans="1:9" s="1527" customFormat="1" ht="19.5" customHeight="1">
      <c r="A27" s="3552"/>
      <c r="B27" s="3552"/>
      <c r="C27" s="1112" t="s">
        <v>1453</v>
      </c>
      <c r="D27" s="1113"/>
      <c r="E27" s="1135">
        <v>0.9</v>
      </c>
      <c r="F27" s="1114" t="s">
        <v>1454</v>
      </c>
      <c r="G27" s="1115"/>
      <c r="H27" s="1086"/>
      <c r="I27" s="1086"/>
    </row>
    <row r="28" spans="1:9" s="1527" customFormat="1" ht="19.5" customHeight="1">
      <c r="A28" s="3552"/>
      <c r="B28" s="3552"/>
      <c r="C28" s="1112" t="s">
        <v>1455</v>
      </c>
      <c r="D28" s="1113"/>
      <c r="E28" s="1135">
        <v>0.9</v>
      </c>
      <c r="F28" s="1114" t="s">
        <v>1456</v>
      </c>
      <c r="G28" s="1115"/>
      <c r="H28" s="1086"/>
      <c r="I28" s="1086"/>
    </row>
    <row r="29" spans="1:9" s="1527" customFormat="1" ht="19.5" customHeight="1">
      <c r="A29" s="3552"/>
      <c r="B29" s="3552"/>
      <c r="C29" s="1112" t="s">
        <v>1457</v>
      </c>
      <c r="D29" s="1113"/>
      <c r="E29" s="1135">
        <v>0.9</v>
      </c>
      <c r="F29" s="1114" t="s">
        <v>1458</v>
      </c>
      <c r="G29" s="1115"/>
      <c r="H29" s="1086"/>
      <c r="I29" s="1086"/>
    </row>
    <row r="30" spans="1:9" s="1527" customFormat="1" ht="19.5" customHeight="1">
      <c r="A30" s="3552"/>
      <c r="B30" s="3552"/>
      <c r="C30" s="1112" t="s">
        <v>1459</v>
      </c>
      <c r="D30" s="1113"/>
      <c r="E30" s="1135">
        <v>0.9</v>
      </c>
      <c r="F30" s="1114" t="s">
        <v>1460</v>
      </c>
      <c r="G30" s="1115"/>
      <c r="H30" s="1086"/>
      <c r="I30" s="1086"/>
    </row>
    <row r="31" spans="1:9" s="1527" customFormat="1" ht="19.5" customHeight="1">
      <c r="A31" s="3552"/>
      <c r="B31" s="3552"/>
      <c r="C31" s="1112" t="s">
        <v>1461</v>
      </c>
      <c r="D31" s="1113"/>
      <c r="E31" s="1135">
        <v>0.8</v>
      </c>
      <c r="F31" s="1114" t="s">
        <v>1462</v>
      </c>
      <c r="G31" s="1115"/>
      <c r="H31" s="1086"/>
      <c r="I31" s="1086"/>
    </row>
    <row r="32" spans="1:9" s="1527" customFormat="1" ht="19.5" customHeight="1">
      <c r="A32" s="3552"/>
      <c r="B32" s="3552"/>
      <c r="C32" s="1112" t="s">
        <v>1463</v>
      </c>
      <c r="D32" s="1113"/>
      <c r="E32" s="1135">
        <v>0.8</v>
      </c>
      <c r="F32" s="1114" t="s">
        <v>1464</v>
      </c>
      <c r="G32" s="1115"/>
      <c r="H32" s="1086"/>
      <c r="I32" s="1086"/>
    </row>
    <row r="33" spans="1:9" s="1527" customFormat="1" ht="19.5" customHeight="1">
      <c r="A33" s="3552" t="s">
        <v>1465</v>
      </c>
      <c r="B33" s="1135" t="s">
        <v>1437</v>
      </c>
      <c r="C33" s="1112" t="s">
        <v>1466</v>
      </c>
      <c r="D33" s="1113"/>
      <c r="E33" s="1135">
        <v>1</v>
      </c>
      <c r="F33" s="1114" t="s">
        <v>1467</v>
      </c>
      <c r="G33" s="1115"/>
      <c r="H33" s="1086"/>
      <c r="I33" s="1086"/>
    </row>
    <row r="34" spans="1:9" s="1527" customFormat="1" ht="19.5" customHeight="1">
      <c r="A34" s="3552"/>
      <c r="B34" s="1135" t="s">
        <v>1440</v>
      </c>
      <c r="C34" s="1112" t="s">
        <v>1468</v>
      </c>
      <c r="D34" s="1113"/>
      <c r="E34" s="1135">
        <v>1.5</v>
      </c>
      <c r="F34" s="1114" t="s">
        <v>1469</v>
      </c>
      <c r="G34" s="1115"/>
      <c r="H34" s="1086"/>
      <c r="I34" s="1086"/>
    </row>
    <row r="35" spans="1:9" s="1527" customFormat="1" ht="19.5" customHeight="1">
      <c r="A35" s="3552" t="s">
        <v>1423</v>
      </c>
      <c r="B35" s="1135" t="s">
        <v>1437</v>
      </c>
      <c r="C35" s="1112" t="s">
        <v>1470</v>
      </c>
      <c r="D35" s="1113"/>
      <c r="E35" s="1135">
        <v>1</v>
      </c>
      <c r="F35" s="1114" t="s">
        <v>1471</v>
      </c>
      <c r="G35" s="1115"/>
      <c r="H35" s="1086"/>
      <c r="I35" s="1086"/>
    </row>
    <row r="36" spans="1:9" s="1527" customFormat="1" ht="19.5" customHeight="1">
      <c r="A36" s="3552"/>
      <c r="B36" s="3552" t="s">
        <v>1440</v>
      </c>
      <c r="C36" s="1112" t="s">
        <v>1472</v>
      </c>
      <c r="D36" s="1113"/>
      <c r="E36" s="1135">
        <v>1</v>
      </c>
      <c r="F36" s="1114" t="s">
        <v>1473</v>
      </c>
      <c r="G36" s="1115"/>
      <c r="H36" s="1086"/>
      <c r="I36" s="1086"/>
    </row>
    <row r="37" spans="1:9" s="1527" customFormat="1" ht="19.5" customHeight="1">
      <c r="A37" s="3552"/>
      <c r="B37" s="3552"/>
      <c r="C37" s="1112" t="s">
        <v>1474</v>
      </c>
      <c r="D37" s="1113"/>
      <c r="E37" s="1135">
        <v>1.5</v>
      </c>
      <c r="F37" s="1114" t="s">
        <v>1475</v>
      </c>
      <c r="G37" s="1115"/>
      <c r="H37" s="1086"/>
      <c r="I37" s="1086"/>
    </row>
    <row r="38" spans="1:9" s="1527" customFormat="1" ht="19.5" customHeight="1">
      <c r="A38" s="3552"/>
      <c r="B38" s="3552"/>
      <c r="C38" s="1112" t="s">
        <v>1476</v>
      </c>
      <c r="D38" s="1113"/>
      <c r="E38" s="1135">
        <v>1</v>
      </c>
      <c r="F38" s="1114" t="s">
        <v>1477</v>
      </c>
      <c r="G38" s="1115"/>
      <c r="H38" s="1086"/>
      <c r="I38" s="1086"/>
    </row>
    <row r="39" spans="1:9" s="1527" customFormat="1" ht="19.5" customHeight="1">
      <c r="A39" s="3552"/>
      <c r="B39" s="3552"/>
      <c r="C39" s="1112" t="s">
        <v>1478</v>
      </c>
      <c r="D39" s="1113"/>
      <c r="E39" s="1135">
        <v>1</v>
      </c>
      <c r="F39" s="1114" t="s">
        <v>1479</v>
      </c>
      <c r="G39" s="1115"/>
      <c r="H39" s="1086"/>
      <c r="I39" s="1086"/>
    </row>
    <row r="40" spans="1:9" s="1527" customFormat="1" ht="19.5" customHeight="1">
      <c r="A40" s="1528" t="s">
        <v>1480</v>
      </c>
      <c r="B40" s="1528"/>
      <c r="C40" s="1528"/>
      <c r="D40" s="1528"/>
      <c r="E40" s="1528"/>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52" t="s">
        <v>1492</v>
      </c>
      <c r="C61" s="1049" t="s">
        <v>1493</v>
      </c>
      <c r="D61" s="1049" t="s">
        <v>1494</v>
      </c>
      <c r="E61" s="1120">
        <v>0.5</v>
      </c>
      <c r="F61" s="1135">
        <v>80</v>
      </c>
      <c r="H61" s="1086">
        <f>SUMIF(C59:C119,基准地价!C8,E59:E119)</f>
        <v>0</v>
      </c>
    </row>
    <row r="62" spans="1:8" s="1086" customFormat="1" ht="24">
      <c r="A62" s="1135">
        <v>2</v>
      </c>
      <c r="B62" s="3552"/>
      <c r="C62" s="1049" t="s">
        <v>1495</v>
      </c>
      <c r="D62" s="1049" t="s">
        <v>1496</v>
      </c>
      <c r="E62" s="1120">
        <v>0.5</v>
      </c>
      <c r="F62" s="1135">
        <v>80</v>
      </c>
    </row>
    <row r="63" spans="1:8" s="1086" customFormat="1" ht="36">
      <c r="A63" s="1135">
        <v>3</v>
      </c>
      <c r="B63" s="3552"/>
      <c r="C63" s="1049" t="s">
        <v>1497</v>
      </c>
      <c r="D63" s="1049" t="s">
        <v>1498</v>
      </c>
      <c r="E63" s="1120">
        <v>0.5</v>
      </c>
      <c r="F63" s="1135">
        <v>80</v>
      </c>
    </row>
    <row r="64" spans="1:8" s="1086" customFormat="1" ht="36">
      <c r="A64" s="1135">
        <v>4</v>
      </c>
      <c r="B64" s="3552"/>
      <c r="C64" s="1049" t="s">
        <v>1499</v>
      </c>
      <c r="D64" s="1049" t="s">
        <v>1500</v>
      </c>
      <c r="E64" s="1120">
        <v>0.4</v>
      </c>
      <c r="F64" s="1135">
        <v>60</v>
      </c>
    </row>
    <row r="65" spans="1:6" s="1086" customFormat="1" ht="36">
      <c r="A65" s="1135">
        <v>5</v>
      </c>
      <c r="B65" s="3552"/>
      <c r="C65" s="1049" t="s">
        <v>1501</v>
      </c>
      <c r="D65" s="1049" t="s">
        <v>1502</v>
      </c>
      <c r="E65" s="1120">
        <v>0.2</v>
      </c>
      <c r="F65" s="1135">
        <v>30</v>
      </c>
    </row>
    <row r="66" spans="1:6" s="1086" customFormat="1" ht="36">
      <c r="A66" s="1135">
        <v>6</v>
      </c>
      <c r="B66" s="3552"/>
      <c r="C66" s="1049" t="s">
        <v>1503</v>
      </c>
      <c r="D66" s="1049" t="s">
        <v>1504</v>
      </c>
      <c r="E66" s="1120">
        <v>0.3</v>
      </c>
      <c r="F66" s="1135">
        <v>50</v>
      </c>
    </row>
    <row r="67" spans="1:6" s="1086" customFormat="1" ht="36">
      <c r="A67" s="1135">
        <v>7</v>
      </c>
      <c r="B67" s="3552"/>
      <c r="C67" s="1049" t="s">
        <v>1505</v>
      </c>
      <c r="D67" s="1049" t="s">
        <v>1506</v>
      </c>
      <c r="E67" s="1120">
        <v>0.2</v>
      </c>
      <c r="F67" s="1135">
        <v>30</v>
      </c>
    </row>
    <row r="68" spans="1:6" s="1086" customFormat="1" ht="36">
      <c r="A68" s="1135">
        <v>8</v>
      </c>
      <c r="B68" s="3552"/>
      <c r="C68" s="1049" t="s">
        <v>1507</v>
      </c>
      <c r="D68" s="1049" t="s">
        <v>1508</v>
      </c>
      <c r="E68" s="1120">
        <v>0.2</v>
      </c>
      <c r="F68" s="1135">
        <v>30</v>
      </c>
    </row>
    <row r="69" spans="1:6" s="1086" customFormat="1" ht="36">
      <c r="A69" s="1135">
        <v>9</v>
      </c>
      <c r="B69" s="3552"/>
      <c r="C69" s="1049" t="s">
        <v>1509</v>
      </c>
      <c r="D69" s="1049" t="s">
        <v>1510</v>
      </c>
      <c r="E69" s="1120">
        <v>0.2</v>
      </c>
      <c r="F69" s="1135">
        <v>30</v>
      </c>
    </row>
    <row r="70" spans="1:6" s="1086" customFormat="1" ht="48">
      <c r="A70" s="1135">
        <v>10</v>
      </c>
      <c r="B70" s="3552"/>
      <c r="C70" s="1049" t="s">
        <v>1511</v>
      </c>
      <c r="D70" s="1049" t="s">
        <v>1512</v>
      </c>
      <c r="E70" s="1120">
        <v>0.2</v>
      </c>
      <c r="F70" s="1135">
        <v>30</v>
      </c>
    </row>
    <row r="71" spans="1:6" s="1086" customFormat="1" ht="48">
      <c r="A71" s="1135">
        <v>11</v>
      </c>
      <c r="B71" s="3552"/>
      <c r="C71" s="1049" t="s">
        <v>1513</v>
      </c>
      <c r="D71" s="1049" t="s">
        <v>1514</v>
      </c>
      <c r="E71" s="1120">
        <v>0.2</v>
      </c>
      <c r="F71" s="1135">
        <v>30</v>
      </c>
    </row>
    <row r="72" spans="1:6" s="1086" customFormat="1" ht="36">
      <c r="A72" s="1135">
        <v>12</v>
      </c>
      <c r="B72" s="3552"/>
      <c r="C72" s="1049" t="s">
        <v>1515</v>
      </c>
      <c r="D72" s="1049" t="s">
        <v>1516</v>
      </c>
      <c r="E72" s="1120">
        <v>0.5</v>
      </c>
      <c r="F72" s="1135">
        <v>80</v>
      </c>
    </row>
    <row r="73" spans="1:6" s="1086" customFormat="1" ht="24">
      <c r="A73" s="1135">
        <v>13</v>
      </c>
      <c r="B73" s="3552"/>
      <c r="C73" s="1049" t="s">
        <v>1517</v>
      </c>
      <c r="D73" s="1049" t="s">
        <v>1518</v>
      </c>
      <c r="E73" s="1120">
        <v>0.4</v>
      </c>
      <c r="F73" s="1135">
        <v>60</v>
      </c>
    </row>
    <row r="74" spans="1:6" s="1086" customFormat="1" ht="24">
      <c r="A74" s="1135">
        <v>14</v>
      </c>
      <c r="B74" s="3552"/>
      <c r="C74" s="1049" t="s">
        <v>1519</v>
      </c>
      <c r="D74" s="1049" t="s">
        <v>1520</v>
      </c>
      <c r="E74" s="1120">
        <v>0.2</v>
      </c>
      <c r="F74" s="1135">
        <v>30</v>
      </c>
    </row>
    <row r="75" spans="1:6" s="1086" customFormat="1" ht="24">
      <c r="A75" s="1135">
        <v>15</v>
      </c>
      <c r="B75" s="3552"/>
      <c r="C75" s="1049" t="s">
        <v>1521</v>
      </c>
      <c r="D75" s="1049" t="s">
        <v>1522</v>
      </c>
      <c r="E75" s="1120">
        <v>0.2</v>
      </c>
      <c r="F75" s="1135">
        <v>30</v>
      </c>
    </row>
    <row r="76" spans="1:6" s="1086" customFormat="1" ht="24">
      <c r="A76" s="1135">
        <v>16</v>
      </c>
      <c r="B76" s="3552" t="s">
        <v>1523</v>
      </c>
      <c r="C76" s="1049" t="s">
        <v>1524</v>
      </c>
      <c r="D76" s="1049" t="s">
        <v>1525</v>
      </c>
      <c r="E76" s="1120">
        <v>0.5</v>
      </c>
      <c r="F76" s="1135">
        <v>80</v>
      </c>
    </row>
    <row r="77" spans="1:6" s="1086" customFormat="1" ht="24">
      <c r="A77" s="1135">
        <v>17</v>
      </c>
      <c r="B77" s="3552"/>
      <c r="C77" s="1049" t="s">
        <v>1526</v>
      </c>
      <c r="D77" s="1049" t="s">
        <v>1527</v>
      </c>
      <c r="E77" s="1120">
        <v>0.5</v>
      </c>
      <c r="F77" s="1135">
        <v>80</v>
      </c>
    </row>
    <row r="78" spans="1:6" s="1086" customFormat="1" ht="24">
      <c r="A78" s="1135">
        <v>18</v>
      </c>
      <c r="B78" s="3552"/>
      <c r="C78" s="1049" t="s">
        <v>1528</v>
      </c>
      <c r="D78" s="1049" t="s">
        <v>1529</v>
      </c>
      <c r="E78" s="1120">
        <v>0.2</v>
      </c>
      <c r="F78" s="1135">
        <v>30</v>
      </c>
    </row>
    <row r="79" spans="1:6" s="1086" customFormat="1" ht="24">
      <c r="A79" s="1135">
        <v>19</v>
      </c>
      <c r="B79" s="3552"/>
      <c r="C79" s="1049" t="s">
        <v>1530</v>
      </c>
      <c r="D79" s="1049" t="s">
        <v>1531</v>
      </c>
      <c r="E79" s="1120">
        <v>0.5</v>
      </c>
      <c r="F79" s="1135">
        <v>80</v>
      </c>
    </row>
    <row r="80" spans="1:6" s="1086" customFormat="1" ht="36">
      <c r="A80" s="1135">
        <v>20</v>
      </c>
      <c r="B80" s="3552"/>
      <c r="C80" s="1049" t="s">
        <v>1532</v>
      </c>
      <c r="D80" s="1049" t="s">
        <v>1533</v>
      </c>
      <c r="E80" s="1120">
        <v>0.2</v>
      </c>
      <c r="F80" s="1135">
        <v>30</v>
      </c>
    </row>
    <row r="81" spans="1:6" s="1086" customFormat="1" ht="36">
      <c r="A81" s="1135">
        <v>21</v>
      </c>
      <c r="B81" s="3552"/>
      <c r="C81" s="1049" t="s">
        <v>1534</v>
      </c>
      <c r="D81" s="1049" t="s">
        <v>1535</v>
      </c>
      <c r="E81" s="1120">
        <v>0.2</v>
      </c>
      <c r="F81" s="1135">
        <v>30</v>
      </c>
    </row>
    <row r="82" spans="1:6" s="1086" customFormat="1" ht="48">
      <c r="A82" s="1135">
        <v>22</v>
      </c>
      <c r="B82" s="3552"/>
      <c r="C82" s="1049" t="s">
        <v>1536</v>
      </c>
      <c r="D82" s="1049" t="s">
        <v>1537</v>
      </c>
      <c r="E82" s="1120">
        <v>0.2</v>
      </c>
      <c r="F82" s="1135">
        <v>30</v>
      </c>
    </row>
    <row r="83" spans="1:6" s="1086" customFormat="1" ht="48">
      <c r="A83" s="1135">
        <v>23</v>
      </c>
      <c r="B83" s="3552"/>
      <c r="C83" s="1049" t="s">
        <v>1538</v>
      </c>
      <c r="D83" s="1049" t="s">
        <v>1539</v>
      </c>
      <c r="E83" s="1120">
        <v>0.2</v>
      </c>
      <c r="F83" s="1135">
        <v>30</v>
      </c>
    </row>
    <row r="84" spans="1:6" s="1086" customFormat="1" ht="36">
      <c r="A84" s="1135">
        <v>24</v>
      </c>
      <c r="B84" s="3552"/>
      <c r="C84" s="1049" t="s">
        <v>1540</v>
      </c>
      <c r="D84" s="1049" t="s">
        <v>1541</v>
      </c>
      <c r="E84" s="1120">
        <v>0.2</v>
      </c>
      <c r="F84" s="1135">
        <v>30</v>
      </c>
    </row>
    <row r="85" spans="1:6" s="1086" customFormat="1" ht="36">
      <c r="A85" s="1135">
        <v>25</v>
      </c>
      <c r="B85" s="3552"/>
      <c r="C85" s="1049" t="s">
        <v>1542</v>
      </c>
      <c r="D85" s="1049" t="s">
        <v>1543</v>
      </c>
      <c r="E85" s="1120">
        <v>0.5</v>
      </c>
      <c r="F85" s="1135">
        <v>80</v>
      </c>
    </row>
    <row r="86" spans="1:6" s="1086" customFormat="1" ht="36">
      <c r="A86" s="1135">
        <v>26</v>
      </c>
      <c r="B86" s="3552"/>
      <c r="C86" s="1049" t="s">
        <v>1544</v>
      </c>
      <c r="D86" s="1049" t="s">
        <v>1545</v>
      </c>
      <c r="E86" s="1120">
        <v>0.2</v>
      </c>
      <c r="F86" s="1135">
        <v>30</v>
      </c>
    </row>
    <row r="87" spans="1:6" s="1086" customFormat="1" ht="36">
      <c r="A87" s="1135">
        <v>27</v>
      </c>
      <c r="B87" s="3552"/>
      <c r="C87" s="1049" t="s">
        <v>1546</v>
      </c>
      <c r="D87" s="1049" t="s">
        <v>1547</v>
      </c>
      <c r="E87" s="1120">
        <v>0.2</v>
      </c>
      <c r="F87" s="1135">
        <v>30</v>
      </c>
    </row>
    <row r="88" spans="1:6" s="1086" customFormat="1" ht="36">
      <c r="A88" s="1135">
        <v>28</v>
      </c>
      <c r="B88" s="3552"/>
      <c r="C88" s="1049" t="s">
        <v>1548</v>
      </c>
      <c r="D88" s="1049" t="s">
        <v>1549</v>
      </c>
      <c r="E88" s="1120">
        <v>0.2</v>
      </c>
      <c r="F88" s="1135">
        <v>30</v>
      </c>
    </row>
    <row r="89" spans="1:6" s="1086" customFormat="1" ht="24">
      <c r="A89" s="1135">
        <v>29</v>
      </c>
      <c r="B89" s="3552"/>
      <c r="C89" s="1049" t="s">
        <v>1550</v>
      </c>
      <c r="D89" s="1049" t="s">
        <v>1551</v>
      </c>
      <c r="E89" s="1120">
        <v>0.2</v>
      </c>
      <c r="F89" s="1135">
        <v>30</v>
      </c>
    </row>
    <row r="90" spans="1:6" s="1086" customFormat="1" ht="24">
      <c r="A90" s="1135">
        <v>30</v>
      </c>
      <c r="B90" s="3552"/>
      <c r="C90" s="1049" t="s">
        <v>1552</v>
      </c>
      <c r="D90" s="1049" t="s">
        <v>1553</v>
      </c>
      <c r="E90" s="1120">
        <v>0.2</v>
      </c>
      <c r="F90" s="1135">
        <v>30</v>
      </c>
    </row>
    <row r="91" spans="1:6" s="1086" customFormat="1" ht="36">
      <c r="A91" s="1135">
        <v>31</v>
      </c>
      <c r="B91" s="3552"/>
      <c r="C91" s="1049" t="s">
        <v>1554</v>
      </c>
      <c r="D91" s="1049" t="s">
        <v>1555</v>
      </c>
      <c r="E91" s="1120">
        <v>0.2</v>
      </c>
      <c r="F91" s="1135">
        <v>30</v>
      </c>
    </row>
    <row r="92" spans="1:6" s="1086" customFormat="1" ht="24">
      <c r="A92" s="1135">
        <v>32</v>
      </c>
      <c r="B92" s="3552" t="s">
        <v>1556</v>
      </c>
      <c r="C92" s="1135" t="s">
        <v>1557</v>
      </c>
      <c r="D92" s="1049" t="s">
        <v>1558</v>
      </c>
      <c r="E92" s="1120">
        <v>0.2</v>
      </c>
      <c r="F92" s="1135">
        <v>30</v>
      </c>
    </row>
    <row r="93" spans="1:6" s="1086" customFormat="1" ht="36">
      <c r="A93" s="1135">
        <v>33</v>
      </c>
      <c r="B93" s="3552"/>
      <c r="C93" s="1135" t="s">
        <v>1559</v>
      </c>
      <c r="D93" s="1049" t="s">
        <v>1560</v>
      </c>
      <c r="E93" s="1120">
        <v>0.2</v>
      </c>
      <c r="F93" s="1135">
        <v>30</v>
      </c>
    </row>
    <row r="94" spans="1:6" s="1086" customFormat="1" ht="48">
      <c r="A94" s="1135">
        <v>34</v>
      </c>
      <c r="B94" s="3552"/>
      <c r="C94" s="1135" t="s">
        <v>1561</v>
      </c>
      <c r="D94" s="1049" t="s">
        <v>1562</v>
      </c>
      <c r="E94" s="1120">
        <v>0.2</v>
      </c>
      <c r="F94" s="1135">
        <v>30</v>
      </c>
    </row>
    <row r="95" spans="1:6" s="1086" customFormat="1" ht="36">
      <c r="A95" s="1135">
        <v>35</v>
      </c>
      <c r="B95" s="3552"/>
      <c r="C95" s="1135" t="s">
        <v>1563</v>
      </c>
      <c r="D95" s="1049" t="s">
        <v>1564</v>
      </c>
      <c r="E95" s="1120">
        <v>0.2</v>
      </c>
      <c r="F95" s="1135">
        <v>30</v>
      </c>
    </row>
    <row r="96" spans="1:6" s="1086" customFormat="1" ht="48">
      <c r="A96" s="1135">
        <v>36</v>
      </c>
      <c r="B96" s="3552"/>
      <c r="C96" s="1049" t="s">
        <v>1565</v>
      </c>
      <c r="D96" s="1049" t="s">
        <v>1566</v>
      </c>
      <c r="E96" s="1120">
        <v>0.2</v>
      </c>
      <c r="F96" s="1135">
        <v>30</v>
      </c>
    </row>
    <row r="97" spans="1:6" s="1086" customFormat="1" ht="36">
      <c r="A97" s="1135">
        <v>37</v>
      </c>
      <c r="B97" s="3552"/>
      <c r="C97" s="1135" t="s">
        <v>1567</v>
      </c>
      <c r="D97" s="1049" t="s">
        <v>1568</v>
      </c>
      <c r="E97" s="1120">
        <v>0.2</v>
      </c>
      <c r="F97" s="1135">
        <v>30</v>
      </c>
    </row>
    <row r="98" spans="1:6" s="1086" customFormat="1" ht="36">
      <c r="A98" s="1135">
        <v>38</v>
      </c>
      <c r="B98" s="3552"/>
      <c r="C98" s="1135" t="s">
        <v>1569</v>
      </c>
      <c r="D98" s="1049" t="s">
        <v>1570</v>
      </c>
      <c r="E98" s="1120">
        <v>0.2</v>
      </c>
      <c r="F98" s="1135">
        <v>30</v>
      </c>
    </row>
    <row r="99" spans="1:6" s="1086" customFormat="1" ht="36">
      <c r="A99" s="1135">
        <v>39</v>
      </c>
      <c r="B99" s="3552" t="s">
        <v>1571</v>
      </c>
      <c r="C99" s="1135" t="s">
        <v>1572</v>
      </c>
      <c r="D99" s="1049" t="s">
        <v>1573</v>
      </c>
      <c r="E99" s="1120">
        <v>0.3</v>
      </c>
      <c r="F99" s="1135">
        <v>50</v>
      </c>
    </row>
    <row r="100" spans="1:6" s="1086" customFormat="1" ht="24">
      <c r="A100" s="1135">
        <v>40</v>
      </c>
      <c r="B100" s="3552"/>
      <c r="C100" s="1135" t="s">
        <v>1574</v>
      </c>
      <c r="D100" s="1049" t="s">
        <v>1575</v>
      </c>
      <c r="E100" s="1120">
        <v>0.2</v>
      </c>
      <c r="F100" s="1135">
        <v>30</v>
      </c>
    </row>
    <row r="101" spans="1:6" s="1086" customFormat="1" ht="36">
      <c r="A101" s="1135">
        <v>41</v>
      </c>
      <c r="B101" s="3552"/>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52" t="s">
        <v>1586</v>
      </c>
      <c r="C105" s="1135" t="s">
        <v>1587</v>
      </c>
      <c r="D105" s="1049" t="s">
        <v>1588</v>
      </c>
      <c r="E105" s="1120">
        <v>0.2</v>
      </c>
      <c r="F105" s="1135">
        <v>30</v>
      </c>
    </row>
    <row r="106" spans="1:6" s="1086" customFormat="1" ht="36">
      <c r="A106" s="1135">
        <v>46</v>
      </c>
      <c r="B106" s="3552"/>
      <c r="C106" s="1135" t="s">
        <v>1589</v>
      </c>
      <c r="D106" s="1049" t="s">
        <v>1590</v>
      </c>
      <c r="E106" s="1120">
        <v>0.2</v>
      </c>
      <c r="F106" s="1135">
        <v>30</v>
      </c>
    </row>
    <row r="107" spans="1:6" s="1086" customFormat="1" ht="36">
      <c r="A107" s="1135">
        <v>47</v>
      </c>
      <c r="B107" s="3552" t="s">
        <v>1591</v>
      </c>
      <c r="C107" s="1135" t="s">
        <v>1592</v>
      </c>
      <c r="D107" s="1049" t="s">
        <v>1593</v>
      </c>
      <c r="E107" s="1120">
        <v>0.3</v>
      </c>
      <c r="F107" s="1135">
        <v>50</v>
      </c>
    </row>
    <row r="108" spans="1:6" s="1086" customFormat="1" ht="36">
      <c r="A108" s="1135">
        <v>48</v>
      </c>
      <c r="B108" s="3552"/>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52" t="s">
        <v>1602</v>
      </c>
      <c r="C111" s="1135" t="s">
        <v>1603</v>
      </c>
      <c r="D111" s="1049" t="s">
        <v>1604</v>
      </c>
      <c r="E111" s="1120">
        <v>0.2</v>
      </c>
      <c r="F111" s="1135">
        <v>30</v>
      </c>
    </row>
    <row r="112" spans="1:6" s="1086" customFormat="1" ht="24">
      <c r="A112" s="1135">
        <v>52</v>
      </c>
      <c r="B112" s="3552"/>
      <c r="C112" s="1135" t="s">
        <v>1605</v>
      </c>
      <c r="D112" s="1049" t="s">
        <v>1606</v>
      </c>
      <c r="E112" s="1120">
        <v>0.2</v>
      </c>
      <c r="F112" s="1135">
        <v>30</v>
      </c>
    </row>
    <row r="113" spans="1:14" s="1086" customFormat="1" ht="24">
      <c r="A113" s="1135">
        <v>53</v>
      </c>
      <c r="B113" s="3552"/>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52" t="s">
        <v>1615</v>
      </c>
      <c r="C116" s="1135" t="s">
        <v>1616</v>
      </c>
      <c r="D116" s="1049" t="s">
        <v>1617</v>
      </c>
      <c r="E116" s="1120">
        <v>0.2</v>
      </c>
      <c r="F116" s="1135">
        <v>30</v>
      </c>
    </row>
    <row r="117" spans="1:14" ht="36">
      <c r="A117" s="1135">
        <v>57</v>
      </c>
      <c r="B117" s="3552"/>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51" t="s">
        <v>1624</v>
      </c>
      <c r="B121" s="3551"/>
      <c r="C121" s="3551"/>
      <c r="D121" s="3551"/>
      <c r="E121" s="3551"/>
      <c r="F121" s="3551"/>
      <c r="G121" s="3551"/>
      <c r="H121" s="3551"/>
      <c r="I121" s="3551"/>
      <c r="J121" s="3551"/>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53" t="s">
        <v>1030</v>
      </c>
      <c r="B1" s="3553"/>
      <c r="C1" s="3553"/>
      <c r="D1" s="3553"/>
      <c r="E1" s="3553"/>
      <c r="F1" s="3553"/>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54" t="s">
        <v>1043</v>
      </c>
      <c r="B2" s="3554"/>
      <c r="C2" s="3554"/>
      <c r="D2" s="3554"/>
      <c r="E2" s="3554"/>
      <c r="F2" s="3554"/>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55"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56"/>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57" t="s">
        <v>2068</v>
      </c>
      <c r="B1" s="3557"/>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565" t="s">
        <v>2556</v>
      </c>
      <c r="C1" s="3565"/>
      <c r="D1" s="3565"/>
      <c r="E1" s="3565"/>
      <c r="F1" s="3565"/>
      <c r="G1" s="3564" t="s">
        <v>2557</v>
      </c>
      <c r="H1" s="3564"/>
      <c r="I1" s="3564"/>
      <c r="J1" s="3564"/>
      <c r="K1" s="3564"/>
      <c r="L1" s="3564"/>
      <c r="N1" s="3564" t="s">
        <v>2558</v>
      </c>
      <c r="O1" s="3564"/>
      <c r="P1" s="3564"/>
      <c r="Q1" s="3564"/>
      <c r="S1" s="3564" t="s">
        <v>2559</v>
      </c>
      <c r="T1" s="3564"/>
      <c r="U1" s="3564"/>
      <c r="V1" s="3564"/>
      <c r="X1" s="3563" t="s">
        <v>2619</v>
      </c>
      <c r="Y1" s="3564"/>
      <c r="Z1" s="3564"/>
      <c r="AA1" s="3564"/>
      <c r="AB1" s="3564"/>
      <c r="AD1" s="3563" t="s">
        <v>2623</v>
      </c>
      <c r="AE1" s="3564"/>
      <c r="AF1" s="3564"/>
      <c r="AG1" s="3564"/>
      <c r="AH1" s="3564"/>
    </row>
    <row r="2" spans="1:34" s="2861" customFormat="1" ht="14.25" thickBot="1">
      <c r="B2" s="2862" t="s">
        <v>2560</v>
      </c>
      <c r="C2" s="2862" t="s">
        <v>2621</v>
      </c>
      <c r="D2" s="2863" t="s">
        <v>1635</v>
      </c>
      <c r="E2" s="2863" t="s">
        <v>1938</v>
      </c>
      <c r="F2" s="2862" t="s">
        <v>2622</v>
      </c>
      <c r="G2" s="2864"/>
      <c r="I2" s="2862" t="s">
        <v>2911</v>
      </c>
      <c r="J2" s="2863" t="s">
        <v>2913</v>
      </c>
      <c r="K2" s="2863" t="s">
        <v>2914</v>
      </c>
      <c r="L2" s="2862" t="s">
        <v>2915</v>
      </c>
      <c r="N2" s="2862" t="s">
        <v>2560</v>
      </c>
      <c r="O2" s="2863" t="s">
        <v>2912</v>
      </c>
      <c r="P2" s="2863" t="s">
        <v>1938</v>
      </c>
      <c r="Q2" s="2862" t="s">
        <v>2622</v>
      </c>
      <c r="S2" s="2862" t="s">
        <v>2560</v>
      </c>
      <c r="T2" s="2863" t="s">
        <v>2912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2922</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2990</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2923</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2991</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2989</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2952</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2950</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2947</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5" thickBot="1">
      <c r="A11" s="2894" t="s">
        <v>2946</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2943</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5" thickBot="1">
      <c r="A13" s="2894" t="s">
        <v>2942</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2939</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559">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5" customHeight="1">
      <c r="A15" s="2894" t="s">
        <v>2932</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559"/>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5" customHeight="1">
      <c r="A16" s="2894" t="s">
        <v>2933</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559"/>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2929</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560"/>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2921</v>
      </c>
      <c r="B18" s="2911">
        <v>439</v>
      </c>
      <c r="C18" s="2911">
        <v>327</v>
      </c>
      <c r="D18" s="2911">
        <f t="shared" si="131"/>
        <v>327</v>
      </c>
      <c r="E18" s="2911">
        <v>627</v>
      </c>
      <c r="F18" s="2912">
        <v>283</v>
      </c>
      <c r="G18" s="3558">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5" customHeight="1">
      <c r="A19" s="2894" t="s">
        <v>2924</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559"/>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5"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559"/>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560"/>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558">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559"/>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559"/>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5"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562"/>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5" thickBot="1">
      <c r="A26" s="2894" t="s">
        <v>958</v>
      </c>
      <c r="B26" s="2916">
        <v>333</v>
      </c>
      <c r="C26" s="2916">
        <v>277</v>
      </c>
      <c r="D26" s="2916">
        <f t="shared" si="153"/>
        <v>277</v>
      </c>
      <c r="E26" s="2916">
        <v>459</v>
      </c>
      <c r="F26" s="2917">
        <v>249</v>
      </c>
      <c r="G26" s="3561">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559"/>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559"/>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562"/>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5" thickBot="1">
      <c r="A30" s="2894" t="s">
        <v>954</v>
      </c>
      <c r="B30" s="2923">
        <v>318</v>
      </c>
      <c r="C30" s="2923">
        <v>268</v>
      </c>
      <c r="D30" s="2923">
        <f t="shared" si="153"/>
        <v>268</v>
      </c>
      <c r="E30" s="2923">
        <v>437</v>
      </c>
      <c r="F30" s="2924">
        <v>237</v>
      </c>
      <c r="G30" s="3561">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559"/>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5"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559"/>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5"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562"/>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5" thickBot="1">
      <c r="A34" s="2894" t="s">
        <v>2563</v>
      </c>
      <c r="B34" s="2916">
        <v>299</v>
      </c>
      <c r="C34" s="2916">
        <v>252</v>
      </c>
      <c r="D34" s="2916">
        <f t="shared" si="153"/>
        <v>252</v>
      </c>
      <c r="E34" s="2916">
        <v>409</v>
      </c>
      <c r="F34" s="2917">
        <v>227</v>
      </c>
      <c r="G34" s="3566">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567"/>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567"/>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568"/>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5" thickBot="1">
      <c r="A38" s="2894" t="s">
        <v>2567</v>
      </c>
      <c r="B38" s="2944">
        <v>278</v>
      </c>
      <c r="C38" s="2944">
        <v>234</v>
      </c>
      <c r="D38" s="2944">
        <f t="shared" si="153"/>
        <v>234</v>
      </c>
      <c r="E38" s="2944">
        <v>379</v>
      </c>
      <c r="F38" s="2945">
        <v>220</v>
      </c>
      <c r="G38" s="3561">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559"/>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559"/>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5" thickBot="1">
      <c r="A41" s="2894" t="s">
        <v>2570</v>
      </c>
      <c r="B41" s="2895">
        <f>B40/(1+N40)</f>
        <v>275.19025476197027</v>
      </c>
      <c r="C41" s="2946">
        <v>232</v>
      </c>
      <c r="D41" s="2946">
        <f t="shared" si="153"/>
        <v>232</v>
      </c>
      <c r="E41" s="2895">
        <f t="shared" si="164"/>
        <v>375.65990977608692</v>
      </c>
      <c r="F41" s="2895">
        <f t="shared" si="164"/>
        <v>214.12518283971252</v>
      </c>
      <c r="G41" s="3562"/>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5" thickBot="1">
      <c r="A42" s="2894" t="s">
        <v>2571</v>
      </c>
      <c r="B42" s="2916">
        <v>275</v>
      </c>
      <c r="C42" s="2916">
        <v>232</v>
      </c>
      <c r="D42" s="2916">
        <f t="shared" si="153"/>
        <v>232</v>
      </c>
      <c r="E42" s="2916">
        <v>376</v>
      </c>
      <c r="F42" s="2917">
        <v>213</v>
      </c>
      <c r="G42" s="3561">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559">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559">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5"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562">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5" thickBot="1">
      <c r="A46" s="2894" t="s">
        <v>2575</v>
      </c>
      <c r="B46" s="2916">
        <v>269</v>
      </c>
      <c r="C46" s="2916">
        <v>221</v>
      </c>
      <c r="D46" s="2916">
        <f t="shared" si="153"/>
        <v>221</v>
      </c>
      <c r="E46" s="2916">
        <v>373</v>
      </c>
      <c r="F46" s="2917">
        <v>196</v>
      </c>
      <c r="G46" s="3561">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559">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559">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5"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562">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5" thickBot="1">
      <c r="A50" s="2894" t="s">
        <v>2579</v>
      </c>
      <c r="B50" s="2916">
        <v>220</v>
      </c>
      <c r="C50" s="2916">
        <v>187</v>
      </c>
      <c r="D50" s="2916">
        <f t="shared" si="153"/>
        <v>187</v>
      </c>
      <c r="E50" s="2916">
        <v>301</v>
      </c>
      <c r="F50" s="2917">
        <v>168</v>
      </c>
      <c r="G50" s="3561">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559">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559">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562">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5" thickBot="1">
      <c r="A54" s="2894" t="s">
        <v>2583</v>
      </c>
      <c r="B54" s="2944">
        <v>214</v>
      </c>
      <c r="C54" s="2944">
        <v>188</v>
      </c>
      <c r="D54" s="2944">
        <f t="shared" si="153"/>
        <v>188</v>
      </c>
      <c r="E54" s="2944">
        <v>289</v>
      </c>
      <c r="F54" s="2945">
        <v>166</v>
      </c>
      <c r="G54" s="3561">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559">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559">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5"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562">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5" thickBot="1">
      <c r="A58" s="2894" t="s">
        <v>2587</v>
      </c>
      <c r="B58" s="2916">
        <v>188</v>
      </c>
      <c r="C58" s="2916">
        <v>165</v>
      </c>
      <c r="D58" s="2916">
        <f t="shared" si="153"/>
        <v>165</v>
      </c>
      <c r="E58" s="2916">
        <v>254</v>
      </c>
      <c r="F58" s="2917">
        <v>148</v>
      </c>
      <c r="G58" s="3561">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559">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559">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562">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5" thickBot="1">
      <c r="A62" s="2894" t="s">
        <v>2591</v>
      </c>
      <c r="B62" s="2923">
        <v>159</v>
      </c>
      <c r="C62" s="2923">
        <v>141</v>
      </c>
      <c r="D62" s="2923">
        <f t="shared" si="153"/>
        <v>141</v>
      </c>
      <c r="E62" s="2923">
        <v>195</v>
      </c>
      <c r="F62" s="2924">
        <v>122</v>
      </c>
      <c r="G62" s="3561">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559">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559">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562">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5" thickBot="1">
      <c r="A66" s="2894" t="s">
        <v>2595</v>
      </c>
      <c r="B66" s="2923">
        <v>138</v>
      </c>
      <c r="C66" s="2923">
        <v>131</v>
      </c>
      <c r="D66" s="2923">
        <f t="shared" si="153"/>
        <v>131</v>
      </c>
      <c r="E66" s="2923">
        <v>155</v>
      </c>
      <c r="F66" s="2924">
        <v>114</v>
      </c>
      <c r="G66" s="3561">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559">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559">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562">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5" thickBot="1">
      <c r="A70" s="2894" t="s">
        <v>2599</v>
      </c>
      <c r="B70" s="2944">
        <v>121</v>
      </c>
      <c r="C70" s="2944">
        <v>122</v>
      </c>
      <c r="D70" s="2944">
        <f t="shared" si="153"/>
        <v>122</v>
      </c>
      <c r="E70" s="2944">
        <v>124</v>
      </c>
      <c r="F70" s="2945">
        <v>107</v>
      </c>
      <c r="G70" s="3561">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559">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559">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5"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562">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5" thickBot="1">
      <c r="A74" s="2894" t="s">
        <v>2603</v>
      </c>
      <c r="B74" s="2964">
        <v>111</v>
      </c>
      <c r="C74" s="2964">
        <v>114</v>
      </c>
      <c r="D74" s="2964">
        <f t="shared" si="153"/>
        <v>114</v>
      </c>
      <c r="E74" s="2964">
        <v>108</v>
      </c>
      <c r="F74" s="2965">
        <v>104</v>
      </c>
      <c r="G74" s="3561">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559">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559">
        <v>2003</v>
      </c>
      <c r="H76" s="2909">
        <v>2</v>
      </c>
      <c r="I76" s="2966"/>
      <c r="J76" s="2966"/>
      <c r="K76" s="2966"/>
      <c r="L76" s="2966"/>
      <c r="X76" s="2958"/>
      <c r="Y76" s="2958"/>
      <c r="Z76" s="2958"/>
    </row>
    <row r="77" spans="1:26" ht="13.5" thickBot="1">
      <c r="A77" s="2894" t="s">
        <v>2606</v>
      </c>
      <c r="B77" s="2968">
        <f t="shared" si="189"/>
        <v>107.25</v>
      </c>
      <c r="C77" s="2968">
        <f t="shared" si="189"/>
        <v>108.75</v>
      </c>
      <c r="D77" s="2968">
        <f t="shared" si="153"/>
        <v>108.75</v>
      </c>
      <c r="E77" s="2968">
        <f t="shared" si="190"/>
        <v>105.75</v>
      </c>
      <c r="F77" s="2968">
        <f t="shared" si="190"/>
        <v>102.5</v>
      </c>
      <c r="G77" s="3562">
        <v>2003</v>
      </c>
      <c r="H77" s="2969">
        <v>1</v>
      </c>
      <c r="I77" s="2966"/>
      <c r="J77" s="2966"/>
      <c r="K77" s="2966"/>
      <c r="L77" s="2966"/>
      <c r="S77" s="2897"/>
      <c r="T77" s="2883"/>
      <c r="U77" s="2883"/>
      <c r="X77" s="2958"/>
      <c r="Y77" s="2958"/>
      <c r="Z77" s="2958"/>
    </row>
    <row r="78" spans="1:26" ht="13.5" thickBot="1">
      <c r="A78" s="2894" t="s">
        <v>2607</v>
      </c>
      <c r="B78" s="2970">
        <v>106</v>
      </c>
      <c r="C78" s="2970">
        <v>107</v>
      </c>
      <c r="D78" s="2970">
        <f t="shared" si="153"/>
        <v>107</v>
      </c>
      <c r="E78" s="2970">
        <v>105</v>
      </c>
      <c r="F78" s="2971">
        <v>102</v>
      </c>
      <c r="G78" s="3561">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559">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559">
        <v>2002</v>
      </c>
      <c r="H80" s="2909">
        <v>2</v>
      </c>
      <c r="I80" s="2966"/>
      <c r="J80" s="2966"/>
      <c r="K80" s="2966"/>
      <c r="L80" s="2966"/>
      <c r="X80" s="2958"/>
      <c r="Y80" s="2958"/>
      <c r="Z80" s="2958"/>
    </row>
    <row r="81" spans="1:26" s="2931" customFormat="1" ht="13.5" thickBot="1">
      <c r="A81" s="2927" t="s">
        <v>2610</v>
      </c>
      <c r="B81" s="2934">
        <f t="shared" si="191"/>
        <v>103</v>
      </c>
      <c r="C81" s="2934">
        <f t="shared" si="191"/>
        <v>104</v>
      </c>
      <c r="D81" s="2934">
        <f t="shared" si="153"/>
        <v>104</v>
      </c>
      <c r="E81" s="2934">
        <f t="shared" si="192"/>
        <v>103.5</v>
      </c>
      <c r="F81" s="2934">
        <f t="shared" si="192"/>
        <v>100.5</v>
      </c>
      <c r="G81" s="3562">
        <v>2002</v>
      </c>
      <c r="H81" s="2972">
        <v>1</v>
      </c>
      <c r="I81" s="2973"/>
      <c r="J81" s="2973"/>
      <c r="K81" s="2973"/>
      <c r="L81" s="2973"/>
      <c r="N81" s="2974"/>
      <c r="S81" s="2974"/>
      <c r="X81" s="2975"/>
      <c r="Y81" s="2975"/>
      <c r="Z81" s="2975"/>
    </row>
    <row r="82" spans="1:26" ht="13.5"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5"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5"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2905</v>
      </c>
      <c r="B1" s="3242"/>
      <c r="C1" s="3242"/>
      <c r="D1" s="3242"/>
      <c r="E1" s="3242"/>
      <c r="F1" s="3242"/>
      <c r="G1" s="3243"/>
      <c r="H1" s="3243"/>
      <c r="I1" s="3243"/>
      <c r="J1" s="3243"/>
      <c r="K1" s="3243"/>
      <c r="L1" s="3243"/>
      <c r="M1" s="3243"/>
      <c r="N1" s="3243"/>
    </row>
    <row r="2" spans="1:14" ht="14.25">
      <c r="A2" s="3248" t="s">
        <v>2900</v>
      </c>
      <c r="B2" s="3253">
        <f ca="1">SUMIF(B7:B14,"&lt;&gt;#ref!",B7:B14)</f>
        <v>0</v>
      </c>
      <c r="C2" s="3248" t="s">
        <v>2901</v>
      </c>
      <c r="D2" s="3245"/>
      <c r="E2" s="3245"/>
      <c r="F2" s="3245"/>
      <c r="G2" s="3243"/>
      <c r="H2" s="3243"/>
      <c r="I2" s="3243"/>
      <c r="J2" s="3243"/>
      <c r="K2" s="3243"/>
      <c r="L2" s="3243"/>
      <c r="M2" s="3243"/>
      <c r="N2" s="3243"/>
    </row>
    <row r="3" spans="1:14" ht="14.25">
      <c r="A3" s="3248" t="s">
        <v>2930</v>
      </c>
      <c r="B3" s="3253" t="e">
        <f ca="1">ROUND(B2*10000/E3,0)</f>
        <v>#DIV/0!</v>
      </c>
      <c r="C3" s="3248" t="s">
        <v>2067</v>
      </c>
      <c r="D3" s="3248" t="s">
        <v>2902</v>
      </c>
      <c r="E3" s="3246">
        <f ca="1">SUMIF(E7:E14,"&lt;&gt;#ref!",E7:E14)</f>
        <v>0</v>
      </c>
      <c r="F3" s="3245"/>
      <c r="G3" s="3243"/>
      <c r="H3" s="3243"/>
      <c r="I3" s="3243"/>
      <c r="J3" s="3243"/>
      <c r="K3" s="3243"/>
      <c r="L3" s="3243"/>
      <c r="M3" s="3243"/>
      <c r="N3" s="3243"/>
    </row>
    <row r="4" spans="1:14" ht="14.25">
      <c r="A4" s="3248" t="s">
        <v>2908</v>
      </c>
      <c r="B4" s="3253" t="e">
        <f ca="1">ROUND(B2*10000/E4,0)</f>
        <v>#DIV/0!</v>
      </c>
      <c r="C4" s="3248" t="s">
        <v>2067</v>
      </c>
      <c r="D4" s="3248" t="s">
        <v>2909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2906</v>
      </c>
      <c r="B6" s="3248" t="s">
        <v>2903</v>
      </c>
      <c r="C6" s="2786"/>
      <c r="D6" s="3245"/>
      <c r="E6" s="3248" t="s">
        <v>2904</v>
      </c>
      <c r="F6" s="3248" t="s">
        <v>2907</v>
      </c>
      <c r="G6" s="3243"/>
      <c r="H6" s="3243"/>
      <c r="I6" s="3243"/>
      <c r="J6" s="3243"/>
      <c r="K6" s="3243"/>
      <c r="L6" s="3243"/>
      <c r="M6" s="3243"/>
      <c r="N6" s="3243"/>
    </row>
    <row r="7" spans="1:14" ht="14.2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2" t="s">
        <v>622</v>
      </c>
      <c r="B1" s="730"/>
      <c r="C1" s="763"/>
      <c r="D1" s="1931"/>
      <c r="E1" s="2240" t="s">
        <v>2359</v>
      </c>
      <c r="F1" s="2241">
        <f ca="1">J54</f>
        <v>-3</v>
      </c>
      <c r="G1" s="764">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2439</v>
      </c>
      <c r="C7" s="53">
        <f ca="1">C8+C12+C14</f>
        <v>0</v>
      </c>
      <c r="D7" s="2347" t="s">
        <v>2442</v>
      </c>
      <c r="E7" s="2341"/>
      <c r="F7" s="2342"/>
      <c r="G7" s="1524"/>
      <c r="H7" s="771">
        <v>1</v>
      </c>
      <c r="I7" s="772" t="s">
        <v>2439</v>
      </c>
      <c r="J7" s="53">
        <f ca="1">J8+J12+J14</f>
        <v>0</v>
      </c>
      <c r="K7" s="2347" t="s">
        <v>2442</v>
      </c>
      <c r="L7" s="2341"/>
      <c r="M7" s="2342"/>
    </row>
    <row r="8" spans="1:25" ht="18" customHeight="1">
      <c r="A8" s="1743" t="s">
        <v>1815</v>
      </c>
      <c r="B8" s="3570" t="s">
        <v>2444</v>
      </c>
      <c r="C8" s="1738">
        <f ca="1">ROUND(F8*F10*F9*(1-F11)/10000,0)</f>
        <v>0</v>
      </c>
      <c r="D8" s="1735" t="s">
        <v>2515</v>
      </c>
      <c r="E8" s="61" t="s">
        <v>631</v>
      </c>
      <c r="F8" s="775">
        <f ca="1">INDIRECT("'数据-取费表'!u"&amp;$G$1)</f>
        <v>0</v>
      </c>
      <c r="G8" s="1524"/>
      <c r="H8" s="2355" t="s">
        <v>1815</v>
      </c>
      <c r="I8" s="3570" t="s">
        <v>2444</v>
      </c>
      <c r="J8" s="773">
        <f ca="1">ROUND(M8*M10*M9*(1-M11)/10000,0)</f>
        <v>0</v>
      </c>
      <c r="K8" s="339" t="s">
        <v>2515</v>
      </c>
      <c r="L8" s="774" t="s">
        <v>1729</v>
      </c>
      <c r="M8" s="775">
        <f ca="1">INDIRECT("'数据-取费表'!z"&amp;$G$1)</f>
        <v>0</v>
      </c>
    </row>
    <row r="9" spans="1:25" ht="18" customHeight="1">
      <c r="A9" s="2351"/>
      <c r="B9" s="3571"/>
      <c r="C9" s="1739"/>
      <c r="D9" s="1736"/>
      <c r="E9" s="61" t="s">
        <v>632</v>
      </c>
      <c r="F9" s="775">
        <f ca="1">IF(INDIRECT("'数据-取费表'!ah"&amp;$G$1)="",INDIRECT("'数据-取费表'!k"&amp;$G$1),INDIRECT("'数据-取费表'!ah"&amp;$G$1))</f>
        <v>0</v>
      </c>
      <c r="G9" s="1524"/>
      <c r="H9" s="2340"/>
      <c r="I9" s="3571"/>
      <c r="J9" s="778"/>
      <c r="K9" s="779"/>
      <c r="L9" s="774" t="s">
        <v>1730</v>
      </c>
      <c r="M9" s="775">
        <f ca="1">F9</f>
        <v>0</v>
      </c>
    </row>
    <row r="10" spans="1:25" ht="18" customHeight="1">
      <c r="A10" s="2344"/>
      <c r="B10" s="3572"/>
      <c r="C10" s="1739"/>
      <c r="D10" s="1736"/>
      <c r="E10" s="61" t="s">
        <v>633</v>
      </c>
      <c r="F10" s="775">
        <f ca="1">INDIRECT("'数据-取费表'!ai"&amp;$G$1)</f>
        <v>0</v>
      </c>
      <c r="G10" s="1524"/>
      <c r="H10" s="2340"/>
      <c r="I10" s="3572"/>
      <c r="J10" s="778"/>
      <c r="K10" s="779"/>
      <c r="L10" s="774" t="s">
        <v>1731</v>
      </c>
      <c r="M10" s="775">
        <f ca="1">INDIRECT("'数据-取费表'!ai"&amp;$G$1)</f>
        <v>0</v>
      </c>
    </row>
    <row r="11" spans="1:25" ht="18" customHeight="1">
      <c r="A11" s="776"/>
      <c r="B11" s="3573"/>
      <c r="C11" s="1739"/>
      <c r="D11" s="1736"/>
      <c r="E11" s="61" t="s">
        <v>634</v>
      </c>
      <c r="F11" s="784">
        <f ca="1">INDIRECT("'数据-取费表'!w"&amp;$G$1)</f>
        <v>0</v>
      </c>
      <c r="G11" s="1524"/>
      <c r="H11" s="2356"/>
      <c r="I11" s="3572"/>
      <c r="J11" s="778"/>
      <c r="K11" s="779"/>
      <c r="L11" s="785" t="s">
        <v>1732</v>
      </c>
      <c r="M11" s="786">
        <f ca="1">INDIRECT("'数据-取费表'!ab"&amp;$G$1)</f>
        <v>0</v>
      </c>
    </row>
    <row r="12" spans="1:25" ht="18" customHeight="1">
      <c r="A12" s="1743" t="s">
        <v>1816</v>
      </c>
      <c r="B12" s="2345" t="s">
        <v>2440</v>
      </c>
      <c r="C12" s="789">
        <f ca="1">ROUND(IF(F12="押一",C8/12*F13,IF(F12="押二",C8/12*2*F13,IF(F12="押三",C8/12*3*F13,C13*F13))),0)</f>
        <v>0</v>
      </c>
      <c r="D12" s="2352" t="s">
        <v>2927</v>
      </c>
      <c r="E12" s="2349" t="s">
        <v>2445</v>
      </c>
      <c r="F12" s="2463"/>
      <c r="G12" s="1524"/>
      <c r="H12" s="2412" t="s">
        <v>1816</v>
      </c>
      <c r="I12" s="2417" t="s">
        <v>2440</v>
      </c>
      <c r="J12" s="773">
        <f ca="1">ROUND(IF(M12="押一",J8/12*M13,IF(M12="押二",J8/12*2*M13,IF(M12="押三",J8/12*3*M13,J13*M13))),0)</f>
        <v>0</v>
      </c>
      <c r="K12" s="2352" t="s">
        <v>2927</v>
      </c>
      <c r="L12" s="2349" t="s">
        <v>2445</v>
      </c>
      <c r="M12" s="2463"/>
    </row>
    <row r="13" spans="1:25" ht="18" customHeight="1">
      <c r="A13" s="780"/>
      <c r="B13" s="2346" t="s">
        <v>2554</v>
      </c>
      <c r="C13" s="2350"/>
      <c r="D13" s="779"/>
      <c r="E13" s="2349" t="s">
        <v>2438</v>
      </c>
      <c r="F13" s="786">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2">
        <f ca="1">ROUND(C31*F15,0)</f>
        <v>0</v>
      </c>
      <c r="D15" s="1747" t="s">
        <v>636</v>
      </c>
      <c r="E15" s="785" t="s">
        <v>637</v>
      </c>
      <c r="F15" s="790">
        <f ca="1">INDIRECT("'数据-取费表'!y"&amp;$G$1)</f>
        <v>0</v>
      </c>
      <c r="G15" s="1524"/>
      <c r="H15" s="1742" t="s">
        <v>1817</v>
      </c>
      <c r="I15" s="1740" t="s">
        <v>638</v>
      </c>
      <c r="J15" s="1732">
        <f ca="1">ROUND(J16*J17,0)</f>
        <v>0</v>
      </c>
      <c r="K15" s="1734" t="s">
        <v>636</v>
      </c>
      <c r="L15" s="791"/>
      <c r="M15" s="792"/>
    </row>
    <row r="16" spans="1:25" ht="18" customHeight="1">
      <c r="A16" s="793" t="s">
        <v>1866</v>
      </c>
      <c r="B16" s="774" t="s">
        <v>639</v>
      </c>
      <c r="C16" s="794">
        <f ca="1">INDIRECT("'数据-取费表'!m"&amp;$G$1)+INDIRECT("'数据-取费表'!t"&amp;$G$1)</f>
        <v>0</v>
      </c>
      <c r="D16" s="1891" t="s">
        <v>640</v>
      </c>
      <c r="E16" s="1892"/>
      <c r="F16" s="795"/>
      <c r="G16" s="1524"/>
      <c r="H16" s="793" t="s">
        <v>2058</v>
      </c>
      <c r="I16" s="2109" t="s">
        <v>2804</v>
      </c>
      <c r="J16" s="53">
        <f ca="1">C31</f>
        <v>0</v>
      </c>
      <c r="K16" s="26"/>
      <c r="L16" s="791"/>
      <c r="M16" s="792"/>
    </row>
    <row r="17" spans="1:25" s="1945" customFormat="1" ht="18" customHeight="1">
      <c r="A17" s="793" t="s">
        <v>1840</v>
      </c>
      <c r="B17" s="774" t="s">
        <v>641</v>
      </c>
      <c r="C17" s="53">
        <f ca="1">ROUND(C16*F17,0)</f>
        <v>0</v>
      </c>
      <c r="D17" s="796" t="s">
        <v>642</v>
      </c>
      <c r="E17" s="796" t="s">
        <v>643</v>
      </c>
      <c r="F17" s="797">
        <f>'数据-取费表'!B33</f>
        <v>0.03</v>
      </c>
      <c r="G17" s="1525"/>
      <c r="H17" s="793" t="s">
        <v>2059</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4"/>
      <c r="H18" s="787" t="s">
        <v>1818</v>
      </c>
      <c r="I18" s="788" t="s">
        <v>645</v>
      </c>
      <c r="J18" s="789">
        <f ca="1">ROUND(J19+J24+J25+J26,0)</f>
        <v>0</v>
      </c>
      <c r="K18" s="26" t="s">
        <v>646</v>
      </c>
      <c r="L18" s="1894"/>
      <c r="M18" s="56"/>
    </row>
    <row r="19" spans="1:25" s="1945" customFormat="1" ht="18" customHeight="1">
      <c r="A19" s="793" t="s">
        <v>1842</v>
      </c>
      <c r="B19" s="774" t="s">
        <v>647</v>
      </c>
      <c r="C19" s="53">
        <f ca="1">ROUND(F19*(INDIRECT("'数据-取费表'!k"&amp;$G$1)+INDIRECT("'数据-取费表'!S"&amp;$G$1))/10000,0)</f>
        <v>0</v>
      </c>
      <c r="D19" s="774" t="s">
        <v>648</v>
      </c>
      <c r="E19" s="774" t="s">
        <v>649</v>
      </c>
      <c r="F19" s="56">
        <f>'数据-取费表'!B35</f>
        <v>200</v>
      </c>
      <c r="G19" s="1525"/>
      <c r="H19" s="793" t="s">
        <v>2058</v>
      </c>
      <c r="I19" s="774"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3" t="s">
        <v>1843</v>
      </c>
      <c r="B20" s="774" t="s">
        <v>653</v>
      </c>
      <c r="C20" s="53">
        <f ca="1">ROUND(C16*F20,0)</f>
        <v>0</v>
      </c>
      <c r="D20" s="774" t="s">
        <v>642</v>
      </c>
      <c r="E20" s="774" t="s">
        <v>643</v>
      </c>
      <c r="F20" s="799">
        <f>'数据-取费表'!B36</f>
        <v>1.4999999999999999E-2</v>
      </c>
      <c r="G20" s="1525"/>
      <c r="H20" s="793" t="s">
        <v>1822</v>
      </c>
      <c r="I20" s="774" t="s">
        <v>654</v>
      </c>
      <c r="J20" s="53">
        <f ca="1">ROUND(J8*M20/(1+'数据-取费表'!C42),1)</f>
        <v>0</v>
      </c>
      <c r="K20" s="1889" t="s">
        <v>655</v>
      </c>
      <c r="L20" s="774" t="s">
        <v>643</v>
      </c>
      <c r="M20" s="799">
        <f>'数据-取费表'!B41</f>
        <v>5.5000000000000007E-2</v>
      </c>
      <c r="N20" s="1944"/>
      <c r="O20" s="1944"/>
      <c r="P20" s="1944"/>
      <c r="Q20" s="1944"/>
      <c r="R20" s="1944"/>
      <c r="S20" s="1944"/>
      <c r="T20" s="1944"/>
      <c r="U20" s="1944"/>
      <c r="V20" s="1944"/>
      <c r="W20" s="1944"/>
      <c r="X20" s="1944"/>
      <c r="Y20" s="1944"/>
    </row>
    <row r="21" spans="1:25" ht="18" customHeight="1">
      <c r="A21" s="793" t="s">
        <v>1867</v>
      </c>
      <c r="B21" s="774" t="s">
        <v>656</v>
      </c>
      <c r="C21" s="53">
        <f ca="1">SUM(C16:C20)</f>
        <v>0</v>
      </c>
      <c r="D21" s="259" t="s">
        <v>657</v>
      </c>
      <c r="E21" s="1894"/>
      <c r="F21" s="56"/>
      <c r="G21" s="1524"/>
      <c r="H21" s="1743"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1868</v>
      </c>
      <c r="B22" s="774" t="s">
        <v>660</v>
      </c>
      <c r="C22" s="53">
        <f ca="1">ROUND(C21*F22,0)</f>
        <v>0</v>
      </c>
      <c r="D22" s="801" t="s">
        <v>661</v>
      </c>
      <c r="E22" s="774" t="s">
        <v>643</v>
      </c>
      <c r="F22" s="799">
        <f>'数据-取费表'!B37</f>
        <v>0.02</v>
      </c>
      <c r="G22" s="1525"/>
      <c r="H22" s="1745" t="s">
        <v>1841</v>
      </c>
      <c r="I22" s="1735" t="s">
        <v>662</v>
      </c>
      <c r="J22" s="54">
        <f ca="1">ROUND(M22*M23/10000,0)</f>
        <v>0</v>
      </c>
      <c r="K22" s="803" t="s">
        <v>663</v>
      </c>
      <c r="L22" s="774" t="s">
        <v>664</v>
      </c>
      <c r="M22" s="632">
        <f>'数据-取费表'!B52</f>
        <v>2</v>
      </c>
      <c r="N22" s="1944"/>
      <c r="O22" s="1944"/>
      <c r="P22" s="1944"/>
      <c r="Q22" s="1944"/>
      <c r="R22" s="1944"/>
      <c r="S22" s="1944"/>
      <c r="T22" s="1944"/>
      <c r="U22" s="1944"/>
      <c r="V22" s="1944"/>
      <c r="W22" s="1944"/>
      <c r="X22" s="1944"/>
      <c r="Y22" s="1944"/>
    </row>
    <row r="23" spans="1:25" s="1945" customFormat="1" ht="18" customHeight="1">
      <c r="A23" s="793" t="s">
        <v>1869</v>
      </c>
      <c r="B23" s="774" t="s">
        <v>665</v>
      </c>
      <c r="C23" s="53" t="s">
        <v>1</v>
      </c>
      <c r="D23" s="801" t="s">
        <v>666</v>
      </c>
      <c r="E23" s="774" t="s">
        <v>667</v>
      </c>
      <c r="F23" s="799">
        <f>'数据-取费表'!B38</f>
        <v>0.02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1870</v>
      </c>
      <c r="B24" s="774" t="s">
        <v>669</v>
      </c>
      <c r="C24" s="53"/>
      <c r="D24" s="2422" t="str">
        <f>IF(F25&lt;=1,"单利计息。","复利计息。")&amp;"建造成本、管理费用、销售费用产生的利息。"</f>
        <v>复利计息。建造成本、管理费用、销售费用产生的利息。</v>
      </c>
      <c r="E24" s="1894"/>
      <c r="F24" s="56"/>
      <c r="G24" s="1524"/>
      <c r="H24" s="1744" t="s">
        <v>2059</v>
      </c>
      <c r="I24" s="774" t="s">
        <v>670</v>
      </c>
      <c r="J24" s="53">
        <f ca="1">ROUND(J16*M24,0)</f>
        <v>0</v>
      </c>
      <c r="K24" s="1889" t="s">
        <v>671</v>
      </c>
      <c r="L24" s="774" t="s">
        <v>643</v>
      </c>
      <c r="M24" s="806">
        <f ca="1">INDIRECT("'数据-取费表'!Ak"&amp;$G$1)</f>
        <v>0</v>
      </c>
    </row>
    <row r="25" spans="1:25" s="1945" customFormat="1" ht="18" customHeight="1">
      <c r="A25" s="793" t="s">
        <v>1866</v>
      </c>
      <c r="B25" s="774" t="s">
        <v>2421</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5"/>
      <c r="H25" s="793" t="s">
        <v>1869</v>
      </c>
      <c r="I25" s="774" t="s">
        <v>673</v>
      </c>
      <c r="J25" s="53">
        <f ca="1">ROUND(J15*M25,0)</f>
        <v>0</v>
      </c>
      <c r="K25" s="1889" t="s">
        <v>674</v>
      </c>
      <c r="L25" s="774" t="s">
        <v>643</v>
      </c>
      <c r="M25" s="807">
        <f ca="1">INDIRECT("'数据-取费表'!Al"&amp;$G$1)</f>
        <v>0</v>
      </c>
      <c r="N25" s="1944"/>
      <c r="O25" s="1944"/>
      <c r="P25" s="1944"/>
      <c r="Q25" s="1944"/>
      <c r="R25" s="1944"/>
      <c r="S25" s="1944"/>
      <c r="T25" s="1944"/>
      <c r="U25" s="1944"/>
      <c r="V25" s="1944"/>
      <c r="W25" s="1944"/>
      <c r="X25" s="1944"/>
      <c r="Y25" s="1944"/>
    </row>
    <row r="26" spans="1:25" s="1945" customFormat="1" ht="18" customHeight="1">
      <c r="A26" s="793" t="s">
        <v>1840</v>
      </c>
      <c r="B26" s="774" t="s">
        <v>675</v>
      </c>
      <c r="C26" s="53">
        <f ca="1">ROUND(IF('数据-取费表'!B22&lt;=1,F23*F26*F25/2,F23*(POWER((1+F26),F25/2)-1)),4)</f>
        <v>1.2999999999999999E-3</v>
      </c>
      <c r="D26" s="2421" t="str">
        <f>IF(F25&lt;=1,"销售费用×利率×(建设周期÷2)","销售费用×((1+利率)^(建设周期÷2)-1)")</f>
        <v>销售费用×((1+利率)^(建设周期÷2)-1)</v>
      </c>
      <c r="E26" s="774" t="s">
        <v>676</v>
      </c>
      <c r="F26" s="808">
        <f ca="1">'数据-取费表'!B40</f>
        <v>4.3499999999999997E-2</v>
      </c>
      <c r="G26" s="1525"/>
      <c r="H26" s="793" t="s">
        <v>1870</v>
      </c>
      <c r="I26" s="774" t="s">
        <v>660</v>
      </c>
      <c r="J26" s="53">
        <f ca="1">ROUND(J7*M26,0)</f>
        <v>0</v>
      </c>
      <c r="K26" s="1889" t="s">
        <v>677</v>
      </c>
      <c r="L26" s="774" t="s">
        <v>643</v>
      </c>
      <c r="M26" s="784">
        <f ca="1">INDIRECT("'数据-取费表'!Am"&amp;$G$1)</f>
        <v>0</v>
      </c>
      <c r="N26" s="1944"/>
      <c r="O26" s="1944"/>
      <c r="P26" s="1944"/>
      <c r="Q26" s="1944"/>
      <c r="R26" s="1944"/>
      <c r="S26" s="1944"/>
      <c r="T26" s="1944"/>
      <c r="U26" s="1944"/>
      <c r="V26" s="1944"/>
      <c r="W26" s="1944"/>
      <c r="X26" s="1944"/>
      <c r="Y26" s="1944"/>
    </row>
    <row r="27" spans="1:25" ht="18" customHeight="1">
      <c r="A27" s="793" t="s">
        <v>1872</v>
      </c>
      <c r="B27" s="774" t="s">
        <v>678</v>
      </c>
      <c r="C27" s="53"/>
      <c r="D27" s="259" t="s">
        <v>679</v>
      </c>
      <c r="E27" s="1894"/>
      <c r="F27" s="56"/>
      <c r="G27" s="1524"/>
      <c r="H27" s="787" t="s">
        <v>1819</v>
      </c>
      <c r="I27" s="2722" t="s">
        <v>2801</v>
      </c>
      <c r="J27" s="789">
        <f ca="1">J7-J18</f>
        <v>0</v>
      </c>
      <c r="K27" s="1891" t="s">
        <v>694</v>
      </c>
      <c r="L27" s="1893"/>
      <c r="M27" s="809"/>
    </row>
    <row r="28" spans="1:25" ht="18" customHeight="1">
      <c r="A28" s="793" t="s">
        <v>1866</v>
      </c>
      <c r="B28" s="774" t="s">
        <v>2422</v>
      </c>
      <c r="C28" s="53">
        <f ca="1">ROUND((C21+C22)*F28,0)</f>
        <v>0</v>
      </c>
      <c r="D28" s="801" t="s">
        <v>695</v>
      </c>
      <c r="E28" s="785" t="s">
        <v>696</v>
      </c>
      <c r="F28" s="784">
        <f ca="1">INDIRECT("'数据-取费表'!q"&amp;$G$1)</f>
        <v>0</v>
      </c>
      <c r="G28" s="1524"/>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1873</v>
      </c>
      <c r="B30" s="774" t="s">
        <v>681</v>
      </c>
      <c r="C30" s="53">
        <f>ROUND(F30/(1+'数据-取费表'!C42),4)</f>
        <v>5.2400000000000002E-2</v>
      </c>
      <c r="D30" s="801" t="s">
        <v>703</v>
      </c>
      <c r="E30" s="774" t="s">
        <v>643</v>
      </c>
      <c r="F30" s="799">
        <f>'数据-取费表'!B41</f>
        <v>5.5000000000000007E-2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2" t="s">
        <v>1863</v>
      </c>
      <c r="I31" s="2723" t="s">
        <v>2803</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1867</v>
      </c>
      <c r="B33" s="774"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4" t="s">
        <v>2984</v>
      </c>
      <c r="I33" s="1947"/>
      <c r="J33" s="1948"/>
      <c r="K33" s="1949"/>
      <c r="L33" s="1950"/>
      <c r="M33" s="1951"/>
    </row>
    <row r="34" spans="1:18" ht="18" customHeight="1">
      <c r="A34" s="793" t="s">
        <v>1866</v>
      </c>
      <c r="B34" s="774" t="s">
        <v>654</v>
      </c>
      <c r="C34" s="53">
        <f ca="1">ROUND(C8*F34/(1+'数据-取费表'!C42),1)</f>
        <v>0</v>
      </c>
      <c r="D34" s="1889" t="s">
        <v>655</v>
      </c>
      <c r="E34" s="774" t="s">
        <v>643</v>
      </c>
      <c r="F34" s="799">
        <f>'数据-取费表'!B41</f>
        <v>5.5000000000000007E-2</v>
      </c>
      <c r="G34" s="1943"/>
      <c r="H34" s="1952"/>
      <c r="I34" s="1953"/>
      <c r="J34" s="1954"/>
      <c r="K34" s="1955"/>
      <c r="L34" s="1956"/>
      <c r="M34" s="1957"/>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3"/>
      <c r="H35" s="1958"/>
      <c r="I35" s="1958"/>
      <c r="J35" s="1958"/>
      <c r="K35" s="1959"/>
      <c r="L35" s="1958"/>
      <c r="M35" s="1958"/>
    </row>
    <row r="36" spans="1:18" ht="18" customHeight="1">
      <c r="A36" s="802" t="s">
        <v>1871</v>
      </c>
      <c r="B36" s="339" t="s">
        <v>662</v>
      </c>
      <c r="C36" s="54">
        <f ca="1">ROUND(F36*F37/10000,1)</f>
        <v>0</v>
      </c>
      <c r="D36" s="803" t="s">
        <v>663</v>
      </c>
      <c r="E36" s="774" t="s">
        <v>664</v>
      </c>
      <c r="F36" s="632">
        <f>'数据-取费表'!B52</f>
        <v>2</v>
      </c>
      <c r="G36" s="1943"/>
      <c r="H36" s="1946"/>
      <c r="I36" s="3569"/>
      <c r="J36" s="1960"/>
      <c r="K36" s="1961"/>
      <c r="L36" s="1960"/>
      <c r="M36" s="1960"/>
    </row>
    <row r="37" spans="1:18" ht="18" customHeight="1">
      <c r="A37" s="804"/>
      <c r="B37" s="783"/>
      <c r="C37" s="69"/>
      <c r="D37" s="805"/>
      <c r="E37" s="774" t="s">
        <v>668</v>
      </c>
      <c r="F37" s="775">
        <f ca="1">INDIRECT("'数据-取费表'!r"&amp;$G$1)</f>
        <v>0</v>
      </c>
      <c r="G37" s="1943"/>
      <c r="H37" s="1946"/>
      <c r="I37" s="3569"/>
      <c r="J37" s="1958"/>
      <c r="K37" s="1959"/>
      <c r="L37" s="1958"/>
      <c r="M37" s="1958"/>
    </row>
    <row r="38" spans="1:18" ht="18" customHeight="1">
      <c r="A38" s="793" t="s">
        <v>1868</v>
      </c>
      <c r="B38" s="774" t="s">
        <v>670</v>
      </c>
      <c r="C38" s="53">
        <f ca="1">ROUND(C31*F38,1)</f>
        <v>0</v>
      </c>
      <c r="D38" s="1889" t="s">
        <v>685</v>
      </c>
      <c r="E38" s="774" t="s">
        <v>643</v>
      </c>
      <c r="F38" s="806">
        <f ca="1">INDIRECT("'数据-取费表'!Ak"&amp;$G$1)</f>
        <v>0</v>
      </c>
      <c r="G38" s="1943"/>
      <c r="H38" s="1958"/>
      <c r="I38" s="3018"/>
      <c r="J38" s="1898"/>
      <c r="K38" s="1962"/>
      <c r="L38" s="1958"/>
      <c r="M38" s="1958"/>
    </row>
    <row r="39" spans="1:18" ht="18" customHeight="1">
      <c r="A39" s="793" t="s">
        <v>1869</v>
      </c>
      <c r="B39" s="774" t="s">
        <v>673</v>
      </c>
      <c r="C39" s="53">
        <f ca="1">ROUND(C15*F39,1)</f>
        <v>0</v>
      </c>
      <c r="D39" s="1889" t="s">
        <v>674</v>
      </c>
      <c r="E39" s="774" t="s">
        <v>643</v>
      </c>
      <c r="F39" s="807">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1867</v>
      </c>
      <c r="B42" s="824" t="s">
        <v>687</v>
      </c>
      <c r="C42" s="818">
        <f ca="1">C7-C32</f>
        <v>0</v>
      </c>
      <c r="D42" s="1891" t="s">
        <v>688</v>
      </c>
      <c r="E42" s="1893"/>
      <c r="F42" s="809"/>
      <c r="G42" s="1943"/>
      <c r="H42" s="1943"/>
      <c r="I42" s="1943"/>
      <c r="J42" s="1943"/>
      <c r="K42" s="1963"/>
      <c r="L42" s="1943"/>
      <c r="M42" s="1943"/>
    </row>
    <row r="43" spans="1:18" ht="18" customHeight="1">
      <c r="A43" s="793" t="s">
        <v>1868</v>
      </c>
      <c r="B43" s="824" t="s">
        <v>705</v>
      </c>
      <c r="C43" s="825">
        <f ca="1">ROUND(C15*F43,0)</f>
        <v>0</v>
      </c>
      <c r="D43" s="1307" t="s">
        <v>706</v>
      </c>
      <c r="E43" s="2791" t="s">
        <v>2916</v>
      </c>
      <c r="F43" s="2792">
        <f ca="1">INDIRECT("'数据-取费表'!j"&amp;$G$1)</f>
        <v>0</v>
      </c>
      <c r="G43" s="1943"/>
      <c r="H43" s="1943"/>
      <c r="I43" s="1943"/>
      <c r="J43" s="1943"/>
      <c r="K43" s="1963"/>
      <c r="L43" s="1943"/>
      <c r="M43" s="1943"/>
    </row>
    <row r="44" spans="1:18" ht="18" customHeight="1">
      <c r="A44" s="793" t="s">
        <v>1869</v>
      </c>
      <c r="B44" s="824" t="s">
        <v>707</v>
      </c>
      <c r="C44" s="1308">
        <f ca="1">C42-C43</f>
        <v>0</v>
      </c>
      <c r="D44" s="457" t="s">
        <v>708</v>
      </c>
      <c r="E44" s="458"/>
      <c r="F44" s="459"/>
      <c r="G44" s="1943"/>
      <c r="H44" s="1943"/>
      <c r="I44" s="1943"/>
      <c r="J44" s="1943"/>
      <c r="K44" s="1963"/>
      <c r="L44" s="1943"/>
      <c r="M44" s="1943"/>
    </row>
    <row r="45" spans="1:18" ht="18" customHeight="1">
      <c r="A45" s="793" t="s">
        <v>1870</v>
      </c>
      <c r="B45" s="1307" t="s">
        <v>709</v>
      </c>
      <c r="C45" s="2747">
        <f ca="1">ROUND(-PV(F45,F46,C44,0),0)</f>
        <v>0</v>
      </c>
      <c r="D45" s="1309" t="s">
        <v>710</v>
      </c>
      <c r="E45" s="796" t="s">
        <v>711</v>
      </c>
      <c r="F45" s="819">
        <f ca="1">INDIRECT("'数据-取费表'!h"&amp;$G$1)</f>
        <v>0</v>
      </c>
      <c r="G45" s="1943"/>
      <c r="H45" s="1943"/>
      <c r="I45" s="1943"/>
      <c r="J45" s="1943"/>
      <c r="K45" s="1963"/>
      <c r="L45" s="1943"/>
      <c r="M45" s="1943"/>
    </row>
    <row r="46" spans="1:18" ht="18" customHeight="1" thickBot="1">
      <c r="A46" s="820"/>
      <c r="B46" s="1310"/>
      <c r="C46" s="1311"/>
      <c r="D46" s="1312"/>
      <c r="E46" s="2793" t="s">
        <v>2919</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4"/>
      <c r="Q47" s="1532"/>
      <c r="R47" s="1524"/>
    </row>
    <row r="48" spans="1:18" s="1940" customFormat="1" ht="18" customHeight="1" thickBot="1">
      <c r="A48" s="1964"/>
      <c r="C48" s="1967"/>
      <c r="D48" s="1968"/>
      <c r="E48" s="1968"/>
      <c r="F48" s="1969"/>
      <c r="G48" s="1970"/>
      <c r="I48" s="2798" t="s">
        <v>2329</v>
      </c>
      <c r="J48" s="2234"/>
      <c r="K48" s="2804" t="s">
        <v>2334</v>
      </c>
      <c r="L48" s="2808">
        <f ca="1">INDIRECT("'数据-取费表'!d"&amp;$G$1)</f>
        <v>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2931</v>
      </c>
      <c r="J54" s="2854">
        <f ca="1">IF(M48="住宅",MAX(J52,L49-'数据-取费表'!B20),MIN(J52,L49-'数据-取费表'!B20))</f>
        <v>-3</v>
      </c>
      <c r="K54" s="3574"/>
      <c r="L54" s="3575"/>
      <c r="O54" s="2254" t="s">
        <v>2373</v>
      </c>
      <c r="P54" s="2252" t="s">
        <v>2374</v>
      </c>
      <c r="Q54" s="2253">
        <f ca="1">J54</f>
        <v>-3</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4" t="e">
        <f ca="1">ROUND(IF(J48="钢混",J58/J51,1-(1-2%)*(J51-J58)/J51),3)</f>
        <v>#VALUE!</v>
      </c>
      <c r="K56" s="2813" t="s">
        <v>2341</v>
      </c>
      <c r="L56" s="2239"/>
      <c r="O56" s="2257" t="s">
        <v>2396</v>
      </c>
      <c r="P56" s="1524"/>
      <c r="Q56" s="1532"/>
      <c r="R56" s="1524"/>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2899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5">
        <v>0</v>
      </c>
      <c r="O65" s="2257" t="s">
        <v>2400</v>
      </c>
      <c r="P65" s="1524"/>
      <c r="Q65" s="1532"/>
      <c r="R65" s="1524"/>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7" spans="1:4" ht="56.25">
      <c r="A7" s="1708" t="s">
        <v>2727</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根据《国有土地使用证》[]，估价对象（分摊）出让国有建设用地使用权面积为178018.61平方米。根据《建设工程规划许可证》[]、《出让合同》[]，估价对象规划建筑面积为331534.86平方米。</v>
      </c>
    </row>
    <row r="21" spans="1:1" ht="18.75">
      <c r="A21" s="1704" t="s">
        <v>2063</v>
      </c>
    </row>
    <row r="22" spans="1:1" ht="93.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I23" sqref="I2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2999</v>
      </c>
      <c r="D1" s="2794" t="s">
        <v>3076</v>
      </c>
      <c r="E1" s="2240" t="s">
        <v>2359</v>
      </c>
      <c r="F1" s="2241">
        <f ca="1">J53</f>
        <v>36.520000000000003</v>
      </c>
      <c r="G1" s="3255">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1657</v>
      </c>
      <c r="C2" s="3260"/>
      <c r="D2" s="3261"/>
      <c r="E2" s="3262"/>
      <c r="F2" s="3262"/>
      <c r="G2" s="3256"/>
      <c r="H2" s="1938"/>
      <c r="I2" s="1938"/>
      <c r="J2" s="1938"/>
      <c r="K2" s="1939"/>
      <c r="L2" s="1938"/>
      <c r="M2" s="1938"/>
    </row>
    <row r="3" spans="1:33" ht="18" customHeight="1" thickBot="1">
      <c r="A3" s="822" t="s">
        <v>1718</v>
      </c>
      <c r="B3" s="823">
        <f ca="1">IF(ISERROR(B2*10000/F43),0,ROUND(B2*10000/F43,0))</f>
        <v>11047</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1720</v>
      </c>
      <c r="J4" s="768" t="s">
        <v>1725</v>
      </c>
      <c r="K4" s="768" t="s">
        <v>1726</v>
      </c>
      <c r="L4" s="769" t="s">
        <v>1727</v>
      </c>
      <c r="M4" s="770"/>
    </row>
    <row r="5" spans="1:33" ht="18" customHeight="1">
      <c r="A5" s="771">
        <v>1</v>
      </c>
      <c r="B5" s="772" t="s">
        <v>2439</v>
      </c>
      <c r="C5" s="55">
        <f ca="1">C6+C10+C12</f>
        <v>99</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99</v>
      </c>
      <c r="D6" s="2348" t="s">
        <v>2443</v>
      </c>
      <c r="E6" s="774" t="s">
        <v>1729</v>
      </c>
      <c r="F6" s="775">
        <f ca="1">INDIRECT("'数据-取费表'!u"&amp;$G$1)</f>
        <v>2</v>
      </c>
      <c r="G6" s="1943"/>
      <c r="H6" s="2355" t="s">
        <v>1815</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1500</v>
      </c>
      <c r="G7" s="1943"/>
      <c r="H7" s="2340"/>
      <c r="I7" s="3571"/>
      <c r="J7" s="778"/>
      <c r="K7" s="779"/>
      <c r="L7" s="774" t="s">
        <v>1730</v>
      </c>
      <c r="M7" s="775">
        <f ca="1">F7</f>
        <v>1500</v>
      </c>
    </row>
    <row r="8" spans="1:33" ht="18" customHeight="1">
      <c r="A8" s="2344"/>
      <c r="B8" s="3572"/>
      <c r="C8" s="778"/>
      <c r="D8" s="779"/>
      <c r="E8" s="774" t="s">
        <v>1731</v>
      </c>
      <c r="F8" s="775">
        <f ca="1">INDIRECT("'数据-取费表'!ai"&amp;$G$1)</f>
        <v>365</v>
      </c>
      <c r="G8" s="1943"/>
      <c r="H8" s="2340"/>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1816</v>
      </c>
      <c r="B10" s="2345" t="s">
        <v>2440</v>
      </c>
      <c r="C10" s="789">
        <f ca="1">ROUND(IF(F10="押一",C6/12*F11,IF(F10="押二",C6/12*2*F11,IF(F10="押三",C6/12*3*F11,C11*F11))),0)</f>
        <v>0</v>
      </c>
      <c r="D10" s="2352" t="s">
        <v>2927</v>
      </c>
      <c r="E10" s="2349" t="s">
        <v>2445</v>
      </c>
      <c r="F10" s="2463" t="s">
        <v>3142</v>
      </c>
      <c r="G10" s="1943"/>
      <c r="H10" s="2412" t="s">
        <v>1816</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2438</v>
      </c>
      <c r="F11" s="786">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1733</v>
      </c>
      <c r="C13" s="782">
        <f ca="1">ROUND(C29*F13,0)</f>
        <v>590</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1822</v>
      </c>
      <c r="B14" s="774" t="s">
        <v>639</v>
      </c>
      <c r="C14" s="794">
        <f ca="1">INDIRECT("'数据-取费表'!m"&amp;$G$1)+INDIRECT("'数据-取费表'!t"&amp;$G$1)</f>
        <v>375</v>
      </c>
      <c r="D14" s="3286" t="s">
        <v>1736</v>
      </c>
      <c r="E14" s="3287"/>
      <c r="F14" s="795"/>
      <c r="G14" s="1943"/>
      <c r="H14" s="1575" t="s">
        <v>1815</v>
      </c>
      <c r="I14" s="2109" t="s">
        <v>2804</v>
      </c>
      <c r="J14" s="53">
        <f ca="1">C29</f>
        <v>590</v>
      </c>
      <c r="K14" s="26"/>
      <c r="L14" s="791"/>
      <c r="M14" s="792"/>
    </row>
    <row r="15" spans="1:33" s="1945" customFormat="1" ht="18" customHeight="1" thickBot="1">
      <c r="A15" s="1574" t="s">
        <v>1823</v>
      </c>
      <c r="B15" s="774" t="s">
        <v>641</v>
      </c>
      <c r="C15" s="53">
        <f ca="1">ROUND(C14*F15,0)</f>
        <v>11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1824</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59</v>
      </c>
      <c r="K16" s="1734" t="s">
        <v>1741</v>
      </c>
      <c r="L16" s="3288"/>
      <c r="M16" s="2342"/>
    </row>
    <row r="17" spans="1:33" s="1945" customFormat="1" ht="18" customHeight="1">
      <c r="A17" s="1574" t="s">
        <v>1878</v>
      </c>
      <c r="B17" s="774" t="s">
        <v>647</v>
      </c>
      <c r="C17" s="53">
        <f ca="1">ROUND(F17*(F43+INDIRECT("'数据-取费表'!S"&amp;$G$1))/10000,0)</f>
        <v>30</v>
      </c>
      <c r="D17" s="774" t="s">
        <v>1742</v>
      </c>
      <c r="E17" s="774" t="s">
        <v>1743</v>
      </c>
      <c r="F17" s="56">
        <f>'数据-取费表'!B35</f>
        <v>200</v>
      </c>
      <c r="G17" s="3257"/>
      <c r="H17" s="1575" t="s">
        <v>1815</v>
      </c>
      <c r="I17" s="774" t="s">
        <v>650</v>
      </c>
      <c r="J17" s="3015">
        <f ca="1">ROUND(IF(AND(项目基本情况!B11="自然人",项目基本情况!B10="北京市"),J6*M17/(1+'数据-取费表'!C42),J18+J19+J20),0)</f>
        <v>50</v>
      </c>
      <c r="K17" s="3286" t="s">
        <v>1744</v>
      </c>
      <c r="L17" s="3284"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6</v>
      </c>
      <c r="D18" s="774" t="s">
        <v>1737</v>
      </c>
      <c r="E18" s="774" t="s">
        <v>1738</v>
      </c>
      <c r="F18" s="799">
        <f>'数据-取费表'!B36</f>
        <v>1.4999999999999999E-2</v>
      </c>
      <c r="G18" s="3257"/>
      <c r="H18" s="1574" t="s">
        <v>1822</v>
      </c>
      <c r="I18" s="774" t="s">
        <v>1746</v>
      </c>
      <c r="J18" s="53">
        <f ca="1">ROUND(J6*M18/(1+'数据-取费表'!C42),1)</f>
        <v>0</v>
      </c>
      <c r="K18" s="3284"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1815</v>
      </c>
      <c r="B19" s="774" t="s">
        <v>656</v>
      </c>
      <c r="C19" s="53">
        <f ca="1">SUM(C14:C18)</f>
        <v>422</v>
      </c>
      <c r="D19" s="259" t="s">
        <v>1748</v>
      </c>
      <c r="E19" s="3294"/>
      <c r="F19" s="56"/>
      <c r="G19" s="1943"/>
      <c r="H19" s="1574" t="s">
        <v>1823</v>
      </c>
      <c r="I19" s="774" t="s">
        <v>1749</v>
      </c>
      <c r="J19" s="53">
        <f ca="1">IF(K19="按租金收入计税",ROUND(J6*M19/(1+'数据-取费表'!C42),1),ROUND(C29*F33*0.7,1))</f>
        <v>49.6</v>
      </c>
      <c r="K19" s="800" t="s">
        <v>659</v>
      </c>
      <c r="L19" s="774" t="s">
        <v>1738</v>
      </c>
      <c r="M19" s="799">
        <f>IF(K19="按租金收入计税",'数据-取费表'!B51,'数据-取费表'!B50)</f>
        <v>1.2E-2</v>
      </c>
    </row>
    <row r="20" spans="1:33" s="1945" customFormat="1" ht="18" customHeight="1">
      <c r="A20" s="1575" t="s">
        <v>1880</v>
      </c>
      <c r="B20" s="774" t="s">
        <v>660</v>
      </c>
      <c r="C20" s="53">
        <f ca="1">ROUND(C19*F20,0)</f>
        <v>8</v>
      </c>
      <c r="D20" s="801" t="s">
        <v>1750</v>
      </c>
      <c r="E20" s="774" t="s">
        <v>1738</v>
      </c>
      <c r="F20" s="799">
        <f>'数据-取费表'!B37</f>
        <v>0.02</v>
      </c>
      <c r="G20" s="3257"/>
      <c r="H20" s="1577" t="s">
        <v>1824</v>
      </c>
      <c r="I20" s="339" t="s">
        <v>1751</v>
      </c>
      <c r="J20" s="54">
        <f ca="1">ROUND(M20*M21/10000,0)</f>
        <v>0</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805.57999999999993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3294"/>
      <c r="F22" s="56"/>
      <c r="G22" s="1943"/>
      <c r="H22" s="1575" t="s">
        <v>1880</v>
      </c>
      <c r="I22" s="774" t="s">
        <v>1759</v>
      </c>
      <c r="J22" s="53">
        <f ca="1">ROUND(J14*M22,0)</f>
        <v>9</v>
      </c>
      <c r="K22" s="3284" t="s">
        <v>1760</v>
      </c>
      <c r="L22" s="774" t="s">
        <v>1738</v>
      </c>
      <c r="M22" s="806">
        <f ca="1">INDIRECT("'数据-取费表'!Ak"&amp;$G$1)</f>
        <v>1.4999999999999999E-2</v>
      </c>
    </row>
    <row r="23" spans="1:33" s="1945" customFormat="1" ht="18" customHeight="1">
      <c r="A23" s="1574" t="s">
        <v>1822</v>
      </c>
      <c r="B23" s="774" t="s">
        <v>2421</v>
      </c>
      <c r="C23" s="53">
        <f ca="1">ROUND(IF('数据-取费表'!B22&lt;=1,(C19+C20)*F24*F23/2,(C19+C20)*(POWER((1+F24),F23/2)-1)),0)</f>
        <v>28</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3284"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3294"/>
      <c r="F25" s="56"/>
      <c r="G25" s="1943"/>
      <c r="H25" s="1742" t="s">
        <v>1767</v>
      </c>
      <c r="I25" s="2721" t="s">
        <v>2801</v>
      </c>
      <c r="J25" s="782">
        <f ca="1">J5-J16</f>
        <v>-59</v>
      </c>
      <c r="K25" s="2399" t="s">
        <v>1768</v>
      </c>
      <c r="L25" s="2400"/>
      <c r="M25" s="2401"/>
    </row>
    <row r="26" spans="1:33" ht="18" customHeight="1">
      <c r="A26" s="1574" t="s">
        <v>1822</v>
      </c>
      <c r="B26" s="774" t="s">
        <v>2422</v>
      </c>
      <c r="C26" s="53">
        <f ca="1">ROUND((C19+C20)*F26,0)</f>
        <v>86</v>
      </c>
      <c r="D26" s="801" t="s">
        <v>1769</v>
      </c>
      <c r="E26" s="785" t="s">
        <v>1770</v>
      </c>
      <c r="F26" s="784">
        <f ca="1">INDIRECT("'数据-取费表'!q"&amp;$G$1)</f>
        <v>0.2</v>
      </c>
      <c r="G26" s="1943"/>
      <c r="H26" s="2353" t="s">
        <v>1771</v>
      </c>
      <c r="I26" s="2110" t="s">
        <v>2806</v>
      </c>
      <c r="J26" s="773">
        <f ca="1">IF(J5&lt;&gt;0,ROUND(J25*(1-((1+M28)/(1+M26))^M27)/(M26-M28),0),0)</f>
        <v>0</v>
      </c>
      <c r="K26" s="803" t="s">
        <v>1772</v>
      </c>
      <c r="L26" s="774" t="s">
        <v>2404</v>
      </c>
      <c r="M26" s="784">
        <f ca="1">INDIRECT("'数据-取费表'!I"&amp;$G$1)</f>
        <v>5.5E-2</v>
      </c>
    </row>
    <row r="27" spans="1:33" ht="18" customHeight="1">
      <c r="A27" s="1574" t="s">
        <v>1823</v>
      </c>
      <c r="B27" s="774" t="s">
        <v>680</v>
      </c>
      <c r="C27" s="53">
        <f ca="1">ROUND(F21*F26,4)</f>
        <v>4.0000000000000001E-3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590</v>
      </c>
      <c r="D29" s="2396"/>
      <c r="E29" s="2397"/>
      <c r="F29" s="2398"/>
      <c r="G29" s="3257"/>
      <c r="H29" s="812" t="s">
        <v>1778</v>
      </c>
      <c r="I29" s="813" t="s">
        <v>1779</v>
      </c>
      <c r="J29" s="814">
        <f ca="1">ROUND(J26/(1+F40)^F41,0)</f>
        <v>0</v>
      </c>
      <c r="K29" s="815" t="s">
        <v>1780</v>
      </c>
      <c r="L29" s="816"/>
      <c r="M29" s="817">
        <f ca="1">INDIRECT("'数据-取费表'!k"&amp;$G$1)</f>
        <v>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1739</v>
      </c>
      <c r="B30" s="1740" t="s">
        <v>1740</v>
      </c>
      <c r="C30" s="782">
        <f ca="1">ROUND(C31+C36+C37+C38,0)</f>
        <v>28</v>
      </c>
      <c r="D30" s="1734" t="s">
        <v>1741</v>
      </c>
      <c r="E30" s="3288"/>
      <c r="F30" s="2342"/>
      <c r="G30" s="1943"/>
      <c r="H30" s="1946"/>
      <c r="I30" s="1947"/>
      <c r="J30" s="1948"/>
      <c r="K30" s="1949"/>
      <c r="L30" s="1950"/>
      <c r="M30" s="1951"/>
    </row>
    <row r="31" spans="1:33" ht="18" customHeight="1">
      <c r="A31" s="1575" t="s">
        <v>1815</v>
      </c>
      <c r="B31" s="774" t="s">
        <v>650</v>
      </c>
      <c r="C31" s="3015">
        <f ca="1">ROUND(IF(AND(项目基本情况!B11="自然人",项目基本情况!B10="北京市"),C6*F31/(1+'数据-取费表'!C42),C32+C33+C34),0)</f>
        <v>17</v>
      </c>
      <c r="D31" s="3286" t="s">
        <v>1744</v>
      </c>
      <c r="E31" s="3284" t="s">
        <v>1784</v>
      </c>
      <c r="F31" s="3014">
        <f ca="1">IF(项目基本情况!B11="企业","——",IF('数据-取费表'!B10="住宅",IF(F6*F7*F8/12/(1+'数据-取费表'!F30)&gt;100000,4%,2.5%),IF(F6*F7*F8/12/(1+'数据-取费表'!F30)&gt;100000,12%,7%)))</f>
        <v>7.0000000000000007E-2</v>
      </c>
      <c r="G31" s="1943"/>
      <c r="H31" s="3254" t="s">
        <v>2984</v>
      </c>
      <c r="I31" s="1947"/>
      <c r="J31" s="1948"/>
      <c r="K31" s="1949"/>
      <c r="L31" s="1950"/>
      <c r="M31" s="1951"/>
    </row>
    <row r="32" spans="1:33" ht="18" customHeight="1">
      <c r="A32" s="1574" t="s">
        <v>1822</v>
      </c>
      <c r="B32" s="774" t="s">
        <v>1746</v>
      </c>
      <c r="C32" s="53">
        <f ca="1">ROUND(C6*F32/(1+'数据-取费表'!C42),1)</f>
        <v>5.2</v>
      </c>
      <c r="D32" s="3284" t="s">
        <v>1747</v>
      </c>
      <c r="E32" s="774" t="s">
        <v>1776</v>
      </c>
      <c r="F32" s="799">
        <f>'数据-取费表'!B41</f>
        <v>5.5000000000000007E-2</v>
      </c>
      <c r="G32" s="1943"/>
      <c r="H32" s="1952"/>
      <c r="I32" s="1953"/>
      <c r="J32" s="1954"/>
      <c r="K32" s="1955"/>
      <c r="L32" s="1956"/>
      <c r="M32" s="1957"/>
    </row>
    <row r="33" spans="1:18" ht="18" customHeight="1">
      <c r="A33" s="1574" t="s">
        <v>1823</v>
      </c>
      <c r="B33" s="774" t="s">
        <v>1749</v>
      </c>
      <c r="C33" s="53">
        <f ca="1">IF(D33="按租金收入计税",ROUND(C6*F33/(1+'数据-取费表'!C42),1),IF(D33="按房产原值计税",ROUND(C29*F33*0.7,1),INDIRECT("'数据-取费表'!Aj"&amp;$G$1)))</f>
        <v>11.3</v>
      </c>
      <c r="D33" s="800" t="s">
        <v>3078</v>
      </c>
      <c r="E33" s="774" t="s">
        <v>1776</v>
      </c>
      <c r="F33" s="799">
        <f>IF(D33="按租金收入计税",'数据-取费表'!B51,'数据-取费表'!B50)</f>
        <v>0.12</v>
      </c>
      <c r="G33" s="1943"/>
      <c r="H33" s="1958"/>
      <c r="I33" s="1958"/>
      <c r="J33" s="1958"/>
      <c r="K33" s="1959"/>
      <c r="L33" s="1958"/>
      <c r="M33" s="1958"/>
    </row>
    <row r="34" spans="1:18" ht="18" customHeight="1">
      <c r="A34" s="1577" t="s">
        <v>1824</v>
      </c>
      <c r="B34" s="339" t="s">
        <v>1751</v>
      </c>
      <c r="C34" s="54">
        <f ca="1">ROUND(F34*F35/10000,1)</f>
        <v>0.2</v>
      </c>
      <c r="D34" s="803" t="s">
        <v>1752</v>
      </c>
      <c r="E34" s="774" t="s">
        <v>1753</v>
      </c>
      <c r="F34" s="632">
        <f>'数据-取费表'!B52</f>
        <v>2</v>
      </c>
      <c r="G34" s="1943"/>
      <c r="H34" s="1946"/>
      <c r="I34" s="824" t="s">
        <v>1804</v>
      </c>
      <c r="J34" s="825"/>
      <c r="K34" s="1961"/>
      <c r="L34" s="1960"/>
      <c r="M34" s="1960"/>
    </row>
    <row r="35" spans="1:18" ht="18" customHeight="1">
      <c r="A35" s="804"/>
      <c r="B35" s="783"/>
      <c r="C35" s="69"/>
      <c r="D35" s="805"/>
      <c r="E35" s="774" t="s">
        <v>1757</v>
      </c>
      <c r="F35" s="775">
        <f ca="1">INDIRECT("'数据-取费表'!r"&amp;$G$1)</f>
        <v>805.57999999999993</v>
      </c>
      <c r="G35" s="1943"/>
      <c r="H35" s="1946"/>
      <c r="I35" s="826" t="s">
        <v>1805</v>
      </c>
      <c r="J35" s="827">
        <f ca="1">ROUND(C13*J36,0)</f>
        <v>50</v>
      </c>
      <c r="K35" s="1959"/>
      <c r="L35" s="1958"/>
      <c r="M35" s="1958"/>
    </row>
    <row r="36" spans="1:18" ht="18" customHeight="1">
      <c r="A36" s="1575" t="s">
        <v>1880</v>
      </c>
      <c r="B36" s="774" t="s">
        <v>1759</v>
      </c>
      <c r="C36" s="53">
        <f ca="1">ROUND(C29*F36,1)</f>
        <v>8.9</v>
      </c>
      <c r="D36" s="3284" t="s">
        <v>1794</v>
      </c>
      <c r="E36" s="774" t="s">
        <v>1776</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0.9</v>
      </c>
      <c r="D37" s="3284" t="s">
        <v>1762</v>
      </c>
      <c r="E37" s="774" t="s">
        <v>1776</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1.5</v>
      </c>
      <c r="D38" s="2396" t="s">
        <v>1765</v>
      </c>
      <c r="E38" s="2397" t="s">
        <v>1776</v>
      </c>
      <c r="F38" s="2393">
        <f ca="1">INDIRECT("'数据-取费表'!Am"&amp;$G$1)</f>
        <v>1.4999999999999999E-2</v>
      </c>
      <c r="G38" s="1943"/>
      <c r="H38" s="1958"/>
      <c r="I38" s="832" t="s">
        <v>1808</v>
      </c>
      <c r="J38" s="833"/>
      <c r="K38" s="1963"/>
      <c r="L38" s="1958"/>
      <c r="M38" s="1958"/>
    </row>
    <row r="39" spans="1:18" ht="24.6" customHeight="1" thickTop="1">
      <c r="A39" s="1742" t="s">
        <v>1767</v>
      </c>
      <c r="B39" s="2721" t="s">
        <v>2801</v>
      </c>
      <c r="C39" s="782">
        <f ca="1">C5-C30</f>
        <v>71</v>
      </c>
      <c r="D39" s="2399" t="s">
        <v>1768</v>
      </c>
      <c r="E39" s="2400"/>
      <c r="F39" s="2401"/>
      <c r="G39" s="1943"/>
      <c r="H39" s="1958"/>
      <c r="I39" s="826" t="s">
        <v>1809</v>
      </c>
      <c r="J39" s="834">
        <f ca="1">ROUND(J35/C39,3)</f>
        <v>0.70399999999999996</v>
      </c>
      <c r="K39" s="1963"/>
      <c r="L39" s="1958"/>
      <c r="M39" s="1958"/>
    </row>
    <row r="40" spans="1:18" ht="18" customHeight="1">
      <c r="A40" s="771" t="s">
        <v>1771</v>
      </c>
      <c r="B40" s="2110" t="s">
        <v>2289</v>
      </c>
      <c r="C40" s="773">
        <f ca="1">ROUND(C39*(1-((1+F42)/(1+F40))^F41)/(F40-F42),0)</f>
        <v>1657</v>
      </c>
      <c r="D40" s="803" t="s">
        <v>1772</v>
      </c>
      <c r="E40" s="774" t="s">
        <v>2404</v>
      </c>
      <c r="F40" s="784">
        <f ca="1">INDIRECT("'数据-取费表'!I"&amp;$G$1)</f>
        <v>5.5E-2</v>
      </c>
      <c r="G40" s="1943"/>
      <c r="H40" s="1943"/>
      <c r="I40" s="826" t="s">
        <v>1810</v>
      </c>
      <c r="J40" s="834">
        <f ca="1">1-J39</f>
        <v>0.29600000000000004</v>
      </c>
      <c r="K40" s="1963"/>
      <c r="L40" s="1943"/>
      <c r="M40" s="1943"/>
    </row>
    <row r="41" spans="1:18" ht="18" customHeight="1">
      <c r="A41" s="776"/>
      <c r="B41" s="777"/>
      <c r="C41" s="778"/>
      <c r="D41" s="810" t="s">
        <v>1799</v>
      </c>
      <c r="E41" s="774" t="s">
        <v>1775</v>
      </c>
      <c r="F41" s="811">
        <f ca="1">IF(INDIRECT("'数据-取费表'!af"&amp;$G$1)=0,INDIRECT("'数据-取费表'!ae"&amp;$G$1),INDIRECT("'数据-取费表'!af"&amp;$G$1))</f>
        <v>36.520000000000003</v>
      </c>
      <c r="G41" s="1943"/>
      <c r="H41" s="1898"/>
      <c r="I41" s="832" t="s">
        <v>1811</v>
      </c>
      <c r="J41" s="835"/>
      <c r="K41" s="1962"/>
      <c r="L41" s="1898"/>
      <c r="M41" s="1898"/>
    </row>
    <row r="42" spans="1:18" ht="18" customHeight="1">
      <c r="A42" s="780"/>
      <c r="B42" s="781"/>
      <c r="C42" s="782"/>
      <c r="D42" s="805"/>
      <c r="E42" s="774" t="s">
        <v>1777</v>
      </c>
      <c r="F42" s="784">
        <f ca="1">INDIRECT("'数据-取费表'!v"&amp;$G$1)</f>
        <v>0.03</v>
      </c>
      <c r="G42" s="1943"/>
      <c r="H42" s="1898"/>
      <c r="I42" s="836" t="s">
        <v>1812</v>
      </c>
      <c r="J42" s="834">
        <f ca="1">ROUND(C13/C40,3)</f>
        <v>0.35599999999999998</v>
      </c>
      <c r="K42" s="1962"/>
      <c r="L42" s="1898"/>
      <c r="M42" s="1898"/>
    </row>
    <row r="43" spans="1:18" ht="18" customHeight="1" thickBot="1">
      <c r="A43" s="812" t="s">
        <v>1778</v>
      </c>
      <c r="B43" s="813" t="s">
        <v>1801</v>
      </c>
      <c r="C43" s="814">
        <f ca="1">ROUND(C40*10000/F43,0)</f>
        <v>11047</v>
      </c>
      <c r="D43" s="815" t="s">
        <v>1802</v>
      </c>
      <c r="E43" s="816" t="s">
        <v>1803</v>
      </c>
      <c r="F43" s="817">
        <f ca="1">INDIRECT("'数据-取费表'!k"&amp;$G$1)</f>
        <v>1500</v>
      </c>
      <c r="G43" s="1943"/>
      <c r="H43" s="1898"/>
      <c r="I43" s="836" t="s">
        <v>1813</v>
      </c>
      <c r="J43" s="837">
        <f ca="1">1-J42</f>
        <v>0.64400000000000002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-1813</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3079</v>
      </c>
      <c r="K47" s="2804" t="s">
        <v>2334</v>
      </c>
      <c r="L47" s="2808">
        <f ca="1">INDIRECT("'数据-取费表'!d"&amp;$G$1)</f>
        <v>40</v>
      </c>
      <c r="M47" s="1532"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39.520000000000003</v>
      </c>
      <c r="M48" s="3259"/>
      <c r="O48" s="2251" t="s">
        <v>2364</v>
      </c>
      <c r="P48" s="2252" t="s">
        <v>2390</v>
      </c>
      <c r="Q48" s="2253">
        <f ca="1">C40+J29</f>
        <v>1657</v>
      </c>
      <c r="R48" s="2252" t="s">
        <v>2365</v>
      </c>
    </row>
    <row r="49" spans="1:18" s="1940" customFormat="1" ht="18" customHeight="1" thickBot="1">
      <c r="A49" s="776"/>
      <c r="B49" s="777"/>
      <c r="C49" s="778"/>
      <c r="D49" s="779"/>
      <c r="E49" s="774" t="s">
        <v>1730</v>
      </c>
      <c r="F49" s="775">
        <f ca="1">F7</f>
        <v>1500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365</v>
      </c>
      <c r="G50" s="1975"/>
      <c r="H50" s="1973"/>
      <c r="I50" s="2795" t="s">
        <v>2332</v>
      </c>
      <c r="J50" s="2802">
        <f>SUMPRODUCT((I63:I65=J47)*(J62:L62=J48)*(J63:L65))</f>
        <v>60</v>
      </c>
      <c r="K50" s="2806" t="s">
        <v>2338</v>
      </c>
      <c r="L50" s="2237"/>
      <c r="M50" s="3259"/>
      <c r="O50" s="2254" t="s">
        <v>2368</v>
      </c>
      <c r="P50" s="2252" t="s">
        <v>2392</v>
      </c>
      <c r="Q50" s="2253">
        <f ca="1">C29</f>
        <v>590</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395</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36.520000000000003</v>
      </c>
      <c r="K53" s="3576" t="s">
        <v>2920</v>
      </c>
      <c r="L53" s="3577"/>
      <c r="M53" s="3259"/>
      <c r="O53" s="2254" t="s">
        <v>2373</v>
      </c>
      <c r="P53" s="2252" t="s">
        <v>2374</v>
      </c>
      <c r="Q53" s="2253">
        <f ca="1">J53</f>
        <v>36.520000000000003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1657</v>
      </c>
      <c r="R54" s="2256" t="s">
        <v>2377</v>
      </c>
    </row>
    <row r="55" spans="1:18" s="1940" customFormat="1" ht="18" customHeight="1" thickTop="1" thickBot="1">
      <c r="A55" s="787">
        <v>2</v>
      </c>
      <c r="B55" s="788" t="s">
        <v>638</v>
      </c>
      <c r="C55" s="789">
        <f ca="1">C13</f>
        <v>590</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2288</v>
      </c>
      <c r="C56" s="53">
        <f ca="1">C29</f>
        <v>590</v>
      </c>
      <c r="D56" s="3284"/>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10</v>
      </c>
      <c r="D57" s="26" t="s">
        <v>1741</v>
      </c>
      <c r="E57" s="3294"/>
      <c r="F57" s="56"/>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1657</v>
      </c>
      <c r="R57" s="2252" t="s">
        <v>2365</v>
      </c>
    </row>
    <row r="58" spans="1:18" s="1940" customFormat="1" ht="28.5" customHeight="1" thickBot="1">
      <c r="A58" s="1575" t="s">
        <v>1815</v>
      </c>
      <c r="B58" s="774" t="s">
        <v>650</v>
      </c>
      <c r="C58" s="3015">
        <f ca="1">ROUND(IF(AND(项目基本情况!B11="自然人",项目基本情况!B10="北京市"),C48*F58/(1+'数据-取费表'!C42),C59+C60+C61),0)</f>
        <v>0</v>
      </c>
      <c r="D58" s="3286" t="s">
        <v>651</v>
      </c>
      <c r="E58" s="3284"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3284"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3284"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0.2</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805.57999999999993</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8.9</v>
      </c>
      <c r="D63" s="3284" t="s">
        <v>1794</v>
      </c>
      <c r="E63" s="774" t="s">
        <v>1738</v>
      </c>
      <c r="F63" s="806">
        <f t="shared" ca="1" si="0"/>
        <v>1.4999999999999999E-2</v>
      </c>
      <c r="I63" s="2820" t="s">
        <v>2355</v>
      </c>
      <c r="J63" s="2821">
        <v>70</v>
      </c>
      <c r="K63" s="2821">
        <v>50</v>
      </c>
      <c r="L63" s="2821">
        <v>80</v>
      </c>
      <c r="M63" s="2823">
        <v>0.02</v>
      </c>
      <c r="O63" s="2251" t="s">
        <v>2376</v>
      </c>
      <c r="P63" s="2252" t="s">
        <v>2393</v>
      </c>
      <c r="Q63" s="2253">
        <f ca="1">Q57+Q58</f>
        <v>1657</v>
      </c>
      <c r="R63" s="2256" t="s">
        <v>2377</v>
      </c>
    </row>
    <row r="64" spans="1:18" s="1940" customFormat="1" ht="16.5" thickBot="1">
      <c r="A64" s="1575" t="s">
        <v>1881</v>
      </c>
      <c r="B64" s="774" t="s">
        <v>673</v>
      </c>
      <c r="C64" s="53">
        <f ca="1">ROUND(C55*F64,1)</f>
        <v>0.9</v>
      </c>
      <c r="D64" s="3284"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3284"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-10</v>
      </c>
      <c r="D66" s="3286" t="s">
        <v>694</v>
      </c>
      <c r="E66" s="3289"/>
      <c r="F66" s="809"/>
      <c r="K66" s="1966"/>
      <c r="O66" s="2251" t="s">
        <v>2364</v>
      </c>
      <c r="P66" s="2252" t="s">
        <v>2390</v>
      </c>
      <c r="Q66" s="2253">
        <f ca="1">C40+J29</f>
        <v>1657</v>
      </c>
      <c r="R66" s="2252" t="s">
        <v>2365</v>
      </c>
    </row>
    <row r="67" spans="1:18" s="1940" customFormat="1" ht="20.25" thickBot="1">
      <c r="A67" s="771" t="s">
        <v>1771</v>
      </c>
      <c r="B67" s="2110" t="s">
        <v>2289</v>
      </c>
      <c r="C67" s="773">
        <f ca="1">ROUND(C66*(1-((1+F69)/(1+F67))^F68)/(F67-F69),0)</f>
        <v>-156</v>
      </c>
      <c r="D67" s="803" t="s">
        <v>698</v>
      </c>
      <c r="E67" s="774" t="s">
        <v>699</v>
      </c>
      <c r="F67" s="784">
        <f ca="1">F40</f>
        <v>5.5E-2</v>
      </c>
      <c r="K67" s="1966"/>
      <c r="O67" s="2251" t="s">
        <v>2366</v>
      </c>
      <c r="P67" s="2252" t="s">
        <v>2397</v>
      </c>
      <c r="Q67" s="2253">
        <f ca="1">L60</f>
        <v>0</v>
      </c>
      <c r="R67" s="2256" t="s">
        <v>2399</v>
      </c>
    </row>
    <row r="68" spans="1:18" ht="21.75" thickBot="1">
      <c r="A68" s="776"/>
      <c r="B68" s="777"/>
      <c r="C68" s="778"/>
      <c r="D68" s="810" t="s">
        <v>1799</v>
      </c>
      <c r="E68" s="774" t="s">
        <v>1775</v>
      </c>
      <c r="F68" s="811">
        <f ca="1">F41</f>
        <v>36.520000000000003</v>
      </c>
      <c r="O68" s="2254" t="s">
        <v>2368</v>
      </c>
      <c r="P68" s="2252" t="s">
        <v>2398</v>
      </c>
      <c r="Q68" s="2258">
        <f ca="1">L51</f>
        <v>395</v>
      </c>
      <c r="R68" s="2259" t="s">
        <v>2401</v>
      </c>
    </row>
    <row r="69" spans="1:18" ht="20.25" thickBot="1">
      <c r="A69" s="780"/>
      <c r="B69" s="781"/>
      <c r="C69" s="782"/>
      <c r="D69" s="805"/>
      <c r="E69" s="774" t="s">
        <v>704</v>
      </c>
      <c r="F69" s="2224"/>
      <c r="O69" s="2254" t="s">
        <v>2369</v>
      </c>
      <c r="P69" s="2260" t="s">
        <v>2383</v>
      </c>
      <c r="Q69" s="2253">
        <f ca="1">ROUND(Q70-Q71*Q72,0)</f>
        <v>21</v>
      </c>
      <c r="R69" s="2256"/>
    </row>
    <row r="70" spans="1:18" ht="15.75" thickBot="1">
      <c r="A70" s="812" t="s">
        <v>1778</v>
      </c>
      <c r="B70" s="813" t="s">
        <v>1801</v>
      </c>
      <c r="C70" s="814">
        <f ca="1">ROUND(C67*10000/F70,0)</f>
        <v>-1040</v>
      </c>
      <c r="D70" s="815" t="s">
        <v>1802</v>
      </c>
      <c r="E70" s="816" t="s">
        <v>1803</v>
      </c>
      <c r="F70" s="817">
        <f ca="1">F43</f>
        <v>1500</v>
      </c>
      <c r="O70" s="2254" t="s">
        <v>2384</v>
      </c>
      <c r="P70" s="2260" t="s">
        <v>2385</v>
      </c>
      <c r="Q70" s="2253">
        <f ca="1">C39</f>
        <v>71</v>
      </c>
      <c r="R70" s="2252" t="s">
        <v>2365</v>
      </c>
    </row>
    <row r="71" spans="1:18" ht="15.75" thickBot="1">
      <c r="O71" s="2254" t="s">
        <v>2386</v>
      </c>
      <c r="P71" s="2260" t="s">
        <v>2387</v>
      </c>
      <c r="Q71" s="2253">
        <f ca="1">C13</f>
        <v>590</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1657</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view="pageBreakPreview" topLeftCell="A19" zoomScale="85" zoomScaleNormal="60" zoomScaleSheetLayoutView="85" workbookViewId="0">
      <selection activeCell="C44" sqref="C44"/>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3015</v>
      </c>
      <c r="D1" s="2794" t="s">
        <v>3076</v>
      </c>
      <c r="E1" s="2240" t="s">
        <v>2359</v>
      </c>
      <c r="F1" s="2241">
        <f ca="1">J53</f>
        <v>46.53</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10391</v>
      </c>
      <c r="C2" s="3260"/>
      <c r="D2" s="3261"/>
      <c r="E2" s="3262"/>
      <c r="F2" s="3262"/>
      <c r="G2" s="3256"/>
      <c r="H2" s="1938"/>
      <c r="I2" s="1938"/>
      <c r="J2" s="1938"/>
      <c r="K2" s="1939"/>
      <c r="L2" s="1938"/>
      <c r="M2" s="1938"/>
    </row>
    <row r="3" spans="1:33" ht="18" customHeight="1" thickBot="1">
      <c r="A3" s="822" t="s">
        <v>1718</v>
      </c>
      <c r="B3" s="823">
        <f ca="1">IF(ISERROR(B2*10000/F43),0,ROUND(B2*10000/F43,0))</f>
        <v>884</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1724</v>
      </c>
      <c r="J4" s="768" t="s">
        <v>1725</v>
      </c>
      <c r="K4" s="768" t="s">
        <v>1726</v>
      </c>
      <c r="L4" s="769" t="s">
        <v>1727</v>
      </c>
      <c r="M4" s="770"/>
    </row>
    <row r="5" spans="1:33" ht="18" customHeight="1">
      <c r="A5" s="771">
        <v>1</v>
      </c>
      <c r="B5" s="772" t="s">
        <v>2439</v>
      </c>
      <c r="C5" s="55">
        <f ca="1">C6+C10+C12</f>
        <v>1341</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1341</v>
      </c>
      <c r="D6" s="2348" t="s">
        <v>2443</v>
      </c>
      <c r="E6" s="774" t="s">
        <v>1729</v>
      </c>
      <c r="F6" s="775">
        <f ca="1">INDIRECT("'数据-取费表'!u"&amp;$G$1)</f>
        <v>450</v>
      </c>
      <c r="G6" s="1943"/>
      <c r="H6" s="2355" t="s">
        <v>2449</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2759</v>
      </c>
      <c r="G7" s="1943"/>
      <c r="H7" s="2340"/>
      <c r="I7" s="3571"/>
      <c r="J7" s="778"/>
      <c r="K7" s="779"/>
      <c r="L7" s="774" t="s">
        <v>1730</v>
      </c>
      <c r="M7" s="775">
        <f ca="1">F7</f>
        <v>2759</v>
      </c>
    </row>
    <row r="8" spans="1:33" ht="18" customHeight="1">
      <c r="A8" s="2344"/>
      <c r="B8" s="3572"/>
      <c r="C8" s="778"/>
      <c r="D8" s="779"/>
      <c r="E8" s="774" t="s">
        <v>1731</v>
      </c>
      <c r="F8" s="775">
        <f ca="1">INDIRECT("'数据-取费表'!ai"&amp;$G$1)</f>
        <v>12</v>
      </c>
      <c r="G8" s="1943"/>
      <c r="H8" s="2340"/>
      <c r="I8" s="3572"/>
      <c r="J8" s="778"/>
      <c r="K8" s="779"/>
      <c r="L8" s="774" t="s">
        <v>1731</v>
      </c>
      <c r="M8" s="775">
        <f ca="1">INDIRECT("'数据-取费表'!ai"&amp;$G$1)</f>
        <v>12</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2447</v>
      </c>
      <c r="B10" s="2345" t="s">
        <v>2440</v>
      </c>
      <c r="C10" s="789">
        <f ca="1">ROUND(IF(F10="押一",C6/12*F11,IF(F10="押二",C6/12*2*F11,IF(F10="押三",C6/12*3*F11,C11*F11))),0)</f>
        <v>0</v>
      </c>
      <c r="D10" s="2352" t="s">
        <v>2927</v>
      </c>
      <c r="E10" s="2349" t="s">
        <v>2445</v>
      </c>
      <c r="F10" s="2463" t="s">
        <v>3077</v>
      </c>
      <c r="G10" s="1943"/>
      <c r="H10" s="2412" t="s">
        <v>2450</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2446</v>
      </c>
      <c r="F11" s="786">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2">
        <f ca="1">ROUND(C29*F13,0)</f>
        <v>40653</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1875</v>
      </c>
      <c r="B14" s="774" t="s">
        <v>639</v>
      </c>
      <c r="C14" s="794">
        <f ca="1">INDIRECT("'数据-取费表'!m"&amp;$G$1)+INDIRECT("'数据-取费表'!t"&amp;$G$1)</f>
        <v>29375</v>
      </c>
      <c r="D14" s="1891" t="s">
        <v>1736</v>
      </c>
      <c r="E14" s="1892"/>
      <c r="F14" s="795"/>
      <c r="G14" s="1943"/>
      <c r="H14" s="1575" t="s">
        <v>1821</v>
      </c>
      <c r="I14" s="2109" t="s">
        <v>2805</v>
      </c>
      <c r="J14" s="53">
        <f ca="1">C29</f>
        <v>40653</v>
      </c>
      <c r="K14" s="26"/>
      <c r="L14" s="791"/>
      <c r="M14" s="792"/>
    </row>
    <row r="15" spans="1:33" s="1945" customFormat="1" ht="18" customHeight="1" thickBot="1">
      <c r="A15" s="1574" t="s">
        <v>1876</v>
      </c>
      <c r="B15" s="774" t="s">
        <v>641</v>
      </c>
      <c r="C15" s="53">
        <f ca="1">ROUND(C14*F15,0)</f>
        <v>881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4038</v>
      </c>
      <c r="K16" s="1734" t="s">
        <v>1741</v>
      </c>
      <c r="L16" s="2337"/>
      <c r="M16" s="2342"/>
    </row>
    <row r="17" spans="1:33" s="1945" customFormat="1" ht="18" customHeight="1">
      <c r="A17" s="1574" t="s">
        <v>1878</v>
      </c>
      <c r="B17" s="774" t="s">
        <v>647</v>
      </c>
      <c r="C17" s="53">
        <f ca="1">ROUND(F17*(F43+INDIRECT("'数据-取费表'!S"&amp;$G$1))/10000,0)</f>
        <v>2350</v>
      </c>
      <c r="D17" s="774" t="s">
        <v>1742</v>
      </c>
      <c r="E17" s="774" t="s">
        <v>1743</v>
      </c>
      <c r="F17" s="56">
        <f>'数据-取费表'!B35</f>
        <v>200</v>
      </c>
      <c r="G17" s="3257"/>
      <c r="H17" s="1575" t="s">
        <v>1821</v>
      </c>
      <c r="I17" s="774" t="s">
        <v>650</v>
      </c>
      <c r="J17" s="3015">
        <f ca="1">ROUND(IF(AND(项目基本情况!B11="自然人",项目基本情况!B10="北京市"),J6*M17/(1+'数据-取费表'!C42),J18+J19+J20),0)</f>
        <v>3428</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441</v>
      </c>
      <c r="D18" s="774" t="s">
        <v>1737</v>
      </c>
      <c r="E18" s="774" t="s">
        <v>1738</v>
      </c>
      <c r="F18" s="799">
        <f>'数据-取费表'!B36</f>
        <v>1.4999999999999999E-2</v>
      </c>
      <c r="G18" s="3257"/>
      <c r="H18" s="1574" t="s">
        <v>1875</v>
      </c>
      <c r="I18" s="774" t="s">
        <v>1746</v>
      </c>
      <c r="J18" s="53">
        <f ca="1">ROUND(J6*M18/(1+'数据-取费表'!C42),1)</f>
        <v>0</v>
      </c>
      <c r="K18" s="2335"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4" t="s">
        <v>656</v>
      </c>
      <c r="C19" s="53">
        <f ca="1">SUM(C14:C18)</f>
        <v>33047</v>
      </c>
      <c r="D19" s="259" t="s">
        <v>1748</v>
      </c>
      <c r="E19" s="1894"/>
      <c r="F19" s="56"/>
      <c r="G19" s="1943"/>
      <c r="H19" s="1574" t="s">
        <v>1876</v>
      </c>
      <c r="I19" s="774" t="s">
        <v>1749</v>
      </c>
      <c r="J19" s="53">
        <f ca="1">IF(K19="按租金收入计税",ROUND(J6*M19/(1+'数据-取费表'!C42),1),ROUND(C29*F33*0.7,1))</f>
        <v>3414.9</v>
      </c>
      <c r="K19" s="800" t="s">
        <v>659</v>
      </c>
      <c r="L19" s="774" t="s">
        <v>1738</v>
      </c>
      <c r="M19" s="799">
        <f>IF(K19="按租金收入计税",'数据-取费表'!B51,'数据-取费表'!B50)</f>
        <v>1.2E-2</v>
      </c>
    </row>
    <row r="20" spans="1:33" s="1945" customFormat="1" ht="18" customHeight="1">
      <c r="A20" s="1575" t="s">
        <v>1880</v>
      </c>
      <c r="B20" s="774" t="s">
        <v>660</v>
      </c>
      <c r="C20" s="53">
        <f ca="1">ROUND(C19*F20,0)</f>
        <v>661</v>
      </c>
      <c r="D20" s="801" t="s">
        <v>1750</v>
      </c>
      <c r="E20" s="774" t="s">
        <v>1738</v>
      </c>
      <c r="F20" s="799">
        <f>'数据-取费表'!B37</f>
        <v>0.02</v>
      </c>
      <c r="G20" s="3257"/>
      <c r="H20" s="1577" t="s">
        <v>1871</v>
      </c>
      <c r="I20" s="339" t="s">
        <v>1751</v>
      </c>
      <c r="J20" s="54">
        <f ca="1">ROUND(M20*M21/10000,0)</f>
        <v>13</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63092.959999999999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1894"/>
      <c r="F22" s="56"/>
      <c r="G22" s="1943"/>
      <c r="H22" s="1575" t="s">
        <v>1880</v>
      </c>
      <c r="I22" s="774" t="s">
        <v>1759</v>
      </c>
      <c r="J22" s="53">
        <f ca="1">ROUND(J14*M22,0)</f>
        <v>610</v>
      </c>
      <c r="K22" s="2335" t="s">
        <v>1760</v>
      </c>
      <c r="L22" s="774" t="s">
        <v>1738</v>
      </c>
      <c r="M22" s="806">
        <f ca="1">INDIRECT("'数据-取费表'!Ak"&amp;$G$1)</f>
        <v>1.4999999999999999E-2</v>
      </c>
    </row>
    <row r="23" spans="1:33" s="1945" customFormat="1" ht="18" customHeight="1">
      <c r="A23" s="1574" t="s">
        <v>1822</v>
      </c>
      <c r="B23" s="774" t="s">
        <v>2516</v>
      </c>
      <c r="C23" s="53">
        <f ca="1">ROUND(IF('数据-取费表'!B22&lt;=1,(C19+C20)*F24*F23/2,(C19+C20)*(POWER((1+F24),F23/2)-1)),0)</f>
        <v>2223</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2335"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1894"/>
      <c r="F25" s="56"/>
      <c r="G25" s="1943"/>
      <c r="H25" s="1742" t="s">
        <v>1767</v>
      </c>
      <c r="I25" s="2721" t="s">
        <v>2801</v>
      </c>
      <c r="J25" s="782">
        <f ca="1">J5-J16</f>
        <v>-4038</v>
      </c>
      <c r="K25" s="2399" t="s">
        <v>1768</v>
      </c>
      <c r="L25" s="2400"/>
      <c r="M25" s="2401"/>
    </row>
    <row r="26" spans="1:33" ht="18" customHeight="1">
      <c r="A26" s="1574" t="s">
        <v>1822</v>
      </c>
      <c r="B26" s="774" t="s">
        <v>2422</v>
      </c>
      <c r="C26" s="53">
        <f ca="1">ROUND((C19+C20)*F26,0)</f>
        <v>1685</v>
      </c>
      <c r="D26" s="801" t="s">
        <v>1769</v>
      </c>
      <c r="E26" s="785" t="s">
        <v>1770</v>
      </c>
      <c r="F26" s="784">
        <f ca="1">INDIRECT("'数据-取费表'!q"&amp;$G$1)</f>
        <v>0.05</v>
      </c>
      <c r="G26" s="1943"/>
      <c r="H26" s="2353" t="s">
        <v>1771</v>
      </c>
      <c r="I26" s="2110" t="s">
        <v>2806</v>
      </c>
      <c r="J26" s="773">
        <f ca="1">IF(J5&lt;&gt;0,ROUND(J25*(1-((1+M28)/(1+M26))^M27)/(M26-M28),0),0)</f>
        <v>0</v>
      </c>
      <c r="K26" s="803" t="s">
        <v>1772</v>
      </c>
      <c r="L26" s="774" t="s">
        <v>2404</v>
      </c>
      <c r="M26" s="784">
        <f ca="1">INDIRECT("'数据-取费表'!I"&amp;$G$1)</f>
        <v>0.05</v>
      </c>
    </row>
    <row r="27" spans="1:33" ht="18" customHeight="1">
      <c r="A27" s="1574" t="s">
        <v>1823</v>
      </c>
      <c r="B27" s="774" t="s">
        <v>680</v>
      </c>
      <c r="C27" s="53">
        <f ca="1">ROUND(F21*F26,4)</f>
        <v>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40653</v>
      </c>
      <c r="D29" s="2396"/>
      <c r="E29" s="2397"/>
      <c r="F29" s="2398"/>
      <c r="G29" s="3257"/>
      <c r="H29" s="812" t="s">
        <v>1778</v>
      </c>
      <c r="I29" s="813" t="s">
        <v>1779</v>
      </c>
      <c r="J29" s="814">
        <f ca="1">ROUND(J26/(1+F40)^F41,0)</f>
        <v>0</v>
      </c>
      <c r="K29" s="815" t="s">
        <v>1780</v>
      </c>
      <c r="L29" s="816"/>
      <c r="M29" s="817">
        <f ca="1">INDIRECT("'数据-取费表'!k"&amp;$G$1)</f>
        <v>117480.11</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2">
        <f ca="1">ROUND(C31+C36+C37+C38,0)</f>
        <v>920</v>
      </c>
      <c r="D30" s="1734" t="s">
        <v>1782</v>
      </c>
      <c r="E30" s="2337"/>
      <c r="F30" s="2342"/>
      <c r="G30" s="1943"/>
      <c r="H30" s="1946"/>
      <c r="I30" s="1947"/>
      <c r="J30" s="1948"/>
      <c r="K30" s="1949"/>
      <c r="L30" s="1950"/>
      <c r="M30" s="1951"/>
    </row>
    <row r="31" spans="1:33" ht="18" customHeight="1">
      <c r="A31" s="1575" t="s">
        <v>1821</v>
      </c>
      <c r="B31" s="774" t="s">
        <v>650</v>
      </c>
      <c r="C31" s="3015">
        <f ca="1">ROUND(IF(AND(项目基本情况!B11="自然人",项目基本情况!B10="北京市"),C6*F31/(1+'数据-取费表'!C42),C32+C33+C34),0)</f>
        <v>236</v>
      </c>
      <c r="D31" s="1891" t="s">
        <v>1783</v>
      </c>
      <c r="E31" s="1889" t="s">
        <v>1784</v>
      </c>
      <c r="F31" s="3014">
        <f ca="1">IF(项目基本情况!B11="企业","——",IF('数据-取费表'!B10="住宅",IF(F6*F7*F8/12/(1+'数据-取费表'!F30)&gt;100000,4%,2.5%),IF(F6*F7*F8/12/(1+'数据-取费表'!F30)&gt;100000,12%,7%)))</f>
        <v>0.12</v>
      </c>
      <c r="G31" s="1943"/>
      <c r="H31" s="3254" t="s">
        <v>2985</v>
      </c>
      <c r="I31" s="1947"/>
      <c r="J31" s="1948"/>
      <c r="K31" s="1949"/>
      <c r="L31" s="1950"/>
      <c r="M31" s="1951"/>
    </row>
    <row r="32" spans="1:33" ht="18" customHeight="1">
      <c r="A32" s="1574" t="s">
        <v>1822</v>
      </c>
      <c r="B32" s="774" t="s">
        <v>1785</v>
      </c>
      <c r="C32" s="53">
        <f ca="1">ROUND(C6*F32/(1+'数据-取费表'!C42),1)</f>
        <v>70.2</v>
      </c>
      <c r="D32" s="1889" t="s">
        <v>1786</v>
      </c>
      <c r="E32" s="774" t="s">
        <v>1787</v>
      </c>
      <c r="F32" s="799">
        <f>'数据-取费表'!B41</f>
        <v>5.5000000000000007E-2</v>
      </c>
      <c r="G32" s="1943"/>
      <c r="H32" s="1952"/>
      <c r="I32" s="1953"/>
      <c r="J32" s="1954"/>
      <c r="K32" s="1955"/>
      <c r="L32" s="1956"/>
      <c r="M32" s="1957"/>
    </row>
    <row r="33" spans="1:18" ht="18" customHeight="1">
      <c r="A33" s="1574" t="s">
        <v>1823</v>
      </c>
      <c r="B33" s="774" t="s">
        <v>1788</v>
      </c>
      <c r="C33" s="53">
        <f ca="1">IF(D33="按租金收入计税",ROUND(C6*F33/(1+'数据-取费表'!C42),1),IF(D33="按房产原值计税",ROUND(C29*F33*0.7,1),INDIRECT("'数据-取费表'!Aj"&amp;$G$1)))</f>
        <v>153.30000000000001</v>
      </c>
      <c r="D33" s="800" t="s">
        <v>3078</v>
      </c>
      <c r="E33" s="774" t="s">
        <v>1787</v>
      </c>
      <c r="F33" s="799">
        <f>IF(D33="按租金收入计税",'数据-取费表'!B51,'数据-取费表'!B50)</f>
        <v>0.12</v>
      </c>
      <c r="G33" s="1943"/>
      <c r="H33" s="1958"/>
      <c r="I33" s="1958"/>
      <c r="J33" s="1958"/>
      <c r="K33" s="1959"/>
      <c r="L33" s="1958"/>
      <c r="M33" s="1958"/>
    </row>
    <row r="34" spans="1:18" ht="18" customHeight="1">
      <c r="A34" s="1577" t="s">
        <v>1824</v>
      </c>
      <c r="B34" s="339" t="s">
        <v>1789</v>
      </c>
      <c r="C34" s="54">
        <f ca="1">ROUND(F34*F35/10000,1)</f>
        <v>12.6</v>
      </c>
      <c r="D34" s="803" t="s">
        <v>1790</v>
      </c>
      <c r="E34" s="774" t="s">
        <v>1791</v>
      </c>
      <c r="F34" s="632">
        <f>'数据-取费表'!B52</f>
        <v>2</v>
      </c>
      <c r="G34" s="1943"/>
      <c r="H34" s="1946"/>
      <c r="I34" s="824" t="s">
        <v>1804</v>
      </c>
      <c r="J34" s="825"/>
      <c r="K34" s="1961"/>
      <c r="L34" s="1960"/>
      <c r="M34" s="1960"/>
    </row>
    <row r="35" spans="1:18" ht="18" customHeight="1">
      <c r="A35" s="804"/>
      <c r="B35" s="783"/>
      <c r="C35" s="69"/>
      <c r="D35" s="805"/>
      <c r="E35" s="774" t="s">
        <v>1792</v>
      </c>
      <c r="F35" s="775">
        <f ca="1">INDIRECT("'数据-取费表'!r"&amp;$G$1)</f>
        <v>63092.959999999999</v>
      </c>
      <c r="G35" s="1943"/>
      <c r="H35" s="1946"/>
      <c r="I35" s="826" t="s">
        <v>1805</v>
      </c>
      <c r="J35" s="827">
        <f ca="1">ROUND(C13*J36,0)</f>
        <v>3456</v>
      </c>
      <c r="K35" s="1959"/>
      <c r="L35" s="1958"/>
      <c r="M35" s="1958"/>
    </row>
    <row r="36" spans="1:18" ht="18" customHeight="1">
      <c r="A36" s="1575" t="s">
        <v>1880</v>
      </c>
      <c r="B36" s="774" t="s">
        <v>1793</v>
      </c>
      <c r="C36" s="53">
        <f ca="1">ROUND(C29*F36,1)</f>
        <v>609.79999999999995</v>
      </c>
      <c r="D36" s="1889" t="s">
        <v>1794</v>
      </c>
      <c r="E36" s="774" t="s">
        <v>1787</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61</v>
      </c>
      <c r="D37" s="1889" t="s">
        <v>1795</v>
      </c>
      <c r="E37" s="774" t="s">
        <v>1787</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13.4</v>
      </c>
      <c r="D38" s="2396" t="s">
        <v>1796</v>
      </c>
      <c r="E38" s="2397" t="s">
        <v>1787</v>
      </c>
      <c r="F38" s="2393">
        <f ca="1">INDIRECT("'数据-取费表'!Am"&amp;$G$1)</f>
        <v>0.01</v>
      </c>
      <c r="G38" s="1943"/>
      <c r="H38" s="1958"/>
      <c r="I38" s="832" t="s">
        <v>1808</v>
      </c>
      <c r="J38" s="833"/>
      <c r="K38" s="1963"/>
      <c r="L38" s="1958"/>
      <c r="M38" s="1958"/>
    </row>
    <row r="39" spans="1:18" ht="24.6" customHeight="1" thickTop="1">
      <c r="A39" s="1742" t="s">
        <v>1885</v>
      </c>
      <c r="B39" s="2721" t="s">
        <v>2801</v>
      </c>
      <c r="C39" s="782">
        <f ca="1">C5-C30</f>
        <v>421</v>
      </c>
      <c r="D39" s="2399" t="s">
        <v>1797</v>
      </c>
      <c r="E39" s="2400"/>
      <c r="F39" s="2401"/>
      <c r="G39" s="1943"/>
      <c r="H39" s="1958"/>
      <c r="I39" s="826" t="s">
        <v>1809</v>
      </c>
      <c r="J39" s="834">
        <f ca="1">ROUND(J35/C39,3)</f>
        <v>8.2089999999999996</v>
      </c>
      <c r="K39" s="1963"/>
      <c r="L39" s="1958"/>
      <c r="M39" s="1958"/>
    </row>
    <row r="40" spans="1:18" ht="18" customHeight="1">
      <c r="A40" s="771" t="s">
        <v>1886</v>
      </c>
      <c r="B40" s="2110" t="s">
        <v>2289</v>
      </c>
      <c r="C40" s="773">
        <f ca="1">ROUND(C39*(1-((1+F42)/(1+F40))^F41)/(F40-F42),0)</f>
        <v>10391</v>
      </c>
      <c r="D40" s="803" t="s">
        <v>1798</v>
      </c>
      <c r="E40" s="774" t="s">
        <v>2404</v>
      </c>
      <c r="F40" s="784">
        <f ca="1">INDIRECT("'数据-取费表'!I"&amp;$G$1)</f>
        <v>0.05</v>
      </c>
      <c r="G40" s="1943"/>
      <c r="H40" s="1943"/>
      <c r="I40" s="826" t="s">
        <v>1810</v>
      </c>
      <c r="J40" s="834">
        <f ca="1">1-J39</f>
        <v>-7.2089999999999996</v>
      </c>
      <c r="K40" s="1963"/>
      <c r="L40" s="1943"/>
      <c r="M40" s="1943"/>
    </row>
    <row r="41" spans="1:18" ht="18" customHeight="1">
      <c r="A41" s="776"/>
      <c r="B41" s="777"/>
      <c r="C41" s="778"/>
      <c r="D41" s="810" t="s">
        <v>1799</v>
      </c>
      <c r="E41" s="774" t="s">
        <v>2918</v>
      </c>
      <c r="F41" s="811">
        <f ca="1">IF(INDIRECT("'数据-取费表'!af"&amp;$G$1)=0,INDIRECT("'数据-取费表'!ae"&amp;$G$1),INDIRECT("'数据-取费表'!af"&amp;$G$1))</f>
        <v>46.53</v>
      </c>
      <c r="G41" s="1943"/>
      <c r="H41" s="1898"/>
      <c r="I41" s="832" t="s">
        <v>1811</v>
      </c>
      <c r="J41" s="835"/>
      <c r="K41" s="1962"/>
      <c r="L41" s="1898"/>
      <c r="M41" s="1898"/>
    </row>
    <row r="42" spans="1:18" ht="18" customHeight="1">
      <c r="A42" s="780"/>
      <c r="B42" s="781"/>
      <c r="C42" s="782"/>
      <c r="D42" s="805"/>
      <c r="E42" s="774" t="s">
        <v>1800</v>
      </c>
      <c r="F42" s="784">
        <f ca="1">INDIRECT("'数据-取费表'!v"&amp;$G$1)</f>
        <v>0.02</v>
      </c>
      <c r="G42" s="1943"/>
      <c r="H42" s="1898"/>
      <c r="I42" s="836" t="s">
        <v>1812</v>
      </c>
      <c r="J42" s="834">
        <f ca="1">ROUND(C13/C40,3)</f>
        <v>3.9119999999999999</v>
      </c>
      <c r="K42" s="1962"/>
      <c r="L42" s="1898"/>
      <c r="M42" s="1898"/>
    </row>
    <row r="43" spans="1:18" ht="18" customHeight="1" thickBot="1">
      <c r="A43" s="812" t="s">
        <v>1778</v>
      </c>
      <c r="B43" s="813" t="s">
        <v>1801</v>
      </c>
      <c r="C43" s="814">
        <f ca="1">ROUND(C40*10000/F43,0)</f>
        <v>884</v>
      </c>
      <c r="D43" s="815" t="s">
        <v>1802</v>
      </c>
      <c r="E43" s="816" t="s">
        <v>1803</v>
      </c>
      <c r="F43" s="817">
        <f ca="1">INDIRECT("'数据-取费表'!k"&amp;$G$1)</f>
        <v>117480.11</v>
      </c>
      <c r="G43" s="1943"/>
      <c r="H43" s="1898"/>
      <c r="I43" s="836" t="s">
        <v>1813</v>
      </c>
      <c r="J43" s="837">
        <f ca="1">1-J42</f>
        <v>-2.9119999999999999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-22658</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3079</v>
      </c>
      <c r="K47" s="2804" t="s">
        <v>2334</v>
      </c>
      <c r="L47" s="2808">
        <f ca="1">INDIRECT("'数据-取费表'!d"&amp;$G$1)</f>
        <v>50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49.53</v>
      </c>
      <c r="M48" s="3259"/>
      <c r="O48" s="2251" t="s">
        <v>2364</v>
      </c>
      <c r="P48" s="2252" t="s">
        <v>2390</v>
      </c>
      <c r="Q48" s="2253">
        <f ca="1">C40+J29</f>
        <v>10391</v>
      </c>
      <c r="R48" s="2252" t="s">
        <v>2365</v>
      </c>
    </row>
    <row r="49" spans="1:18" s="1940" customFormat="1" ht="18" customHeight="1" thickBot="1">
      <c r="A49" s="776"/>
      <c r="B49" s="777"/>
      <c r="C49" s="778"/>
      <c r="D49" s="779"/>
      <c r="E49" s="774" t="s">
        <v>1730</v>
      </c>
      <c r="F49" s="775">
        <f ca="1">F7</f>
        <v>2759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12</v>
      </c>
      <c r="G50" s="1975"/>
      <c r="H50" s="1973"/>
      <c r="I50" s="2795" t="s">
        <v>2332</v>
      </c>
      <c r="J50" s="2802">
        <f>SUMPRODUCT((I63:I65=J47)*(J62:L62=J48)*(J63:L65))</f>
        <v>60</v>
      </c>
      <c r="K50" s="2806" t="s">
        <v>2338</v>
      </c>
      <c r="L50" s="2237"/>
      <c r="M50" s="3259"/>
      <c r="O50" s="2254" t="s">
        <v>2368</v>
      </c>
      <c r="P50" s="2252" t="s">
        <v>2392</v>
      </c>
      <c r="Q50" s="2253">
        <f ca="1">C29</f>
        <v>40653</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-62626</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46.53</v>
      </c>
      <c r="K53" s="3576" t="s">
        <v>2920</v>
      </c>
      <c r="L53" s="3577"/>
      <c r="M53" s="3259"/>
      <c r="O53" s="2254" t="s">
        <v>2373</v>
      </c>
      <c r="P53" s="2252" t="s">
        <v>2374</v>
      </c>
      <c r="Q53" s="2253">
        <f ca="1">J53</f>
        <v>46.53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10391</v>
      </c>
      <c r="R54" s="2256" t="s">
        <v>2377</v>
      </c>
    </row>
    <row r="55" spans="1:18" s="1940" customFormat="1" ht="18" customHeight="1" thickTop="1" thickBot="1">
      <c r="A55" s="787">
        <v>2</v>
      </c>
      <c r="B55" s="788" t="s">
        <v>638</v>
      </c>
      <c r="C55" s="789">
        <f ca="1">C13</f>
        <v>40653</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2290</v>
      </c>
      <c r="C56" s="53">
        <f ca="1">C29</f>
        <v>40653</v>
      </c>
      <c r="D56" s="2479"/>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684</v>
      </c>
      <c r="D57" s="26" t="s">
        <v>1741</v>
      </c>
      <c r="E57" s="2480"/>
      <c r="F57" s="56"/>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10391</v>
      </c>
      <c r="R57" s="2252" t="s">
        <v>2365</v>
      </c>
    </row>
    <row r="58" spans="1:18" s="1940" customFormat="1" ht="28.5" customHeight="1" thickBot="1">
      <c r="A58" s="1575" t="s">
        <v>1815</v>
      </c>
      <c r="B58" s="774" t="s">
        <v>650</v>
      </c>
      <c r="C58" s="3015">
        <f ca="1">ROUND(IF(AND(项目基本情况!B11="自然人",项目基本情况!B10="北京市"),C48*F58/(1+'数据-取费表'!C42),C59+C60+C61),0)</f>
        <v>13</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2479"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2479"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12.6</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63092.959999999999</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609.79999999999995</v>
      </c>
      <c r="D63" s="2479" t="s">
        <v>1794</v>
      </c>
      <c r="E63" s="774" t="s">
        <v>1738</v>
      </c>
      <c r="F63" s="806">
        <f t="shared" ca="1" si="0"/>
        <v>1.4999999999999999E-2</v>
      </c>
      <c r="I63" s="2820" t="s">
        <v>2355</v>
      </c>
      <c r="J63" s="2821">
        <v>70</v>
      </c>
      <c r="K63" s="2821">
        <v>50</v>
      </c>
      <c r="L63" s="2821">
        <v>80</v>
      </c>
      <c r="M63" s="2823">
        <v>0.02</v>
      </c>
      <c r="O63" s="2251" t="s">
        <v>2376</v>
      </c>
      <c r="P63" s="2252" t="s">
        <v>2393</v>
      </c>
      <c r="Q63" s="2253">
        <f ca="1">Q57+Q58</f>
        <v>10391</v>
      </c>
      <c r="R63" s="2256" t="s">
        <v>2377</v>
      </c>
    </row>
    <row r="64" spans="1:18" s="1940" customFormat="1" ht="16.5" thickBot="1">
      <c r="A64" s="1575" t="s">
        <v>1881</v>
      </c>
      <c r="B64" s="774" t="s">
        <v>673</v>
      </c>
      <c r="C64" s="53">
        <f ca="1">ROUND(C55*F64,1)</f>
        <v>61</v>
      </c>
      <c r="D64" s="2479"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2479" t="s">
        <v>677</v>
      </c>
      <c r="E65" s="774" t="s">
        <v>1738</v>
      </c>
      <c r="F65" s="784">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-684</v>
      </c>
      <c r="D66" s="2478" t="s">
        <v>694</v>
      </c>
      <c r="E66" s="2477"/>
      <c r="F66" s="809"/>
      <c r="K66" s="1966"/>
      <c r="O66" s="2251" t="s">
        <v>2364</v>
      </c>
      <c r="P66" s="2252" t="s">
        <v>2394</v>
      </c>
      <c r="Q66" s="2253">
        <f ca="1">C40+J29</f>
        <v>10391</v>
      </c>
      <c r="R66" s="2252" t="s">
        <v>2365</v>
      </c>
    </row>
    <row r="67" spans="1:18" s="1940" customFormat="1" ht="20.25" thickBot="1">
      <c r="A67" s="771" t="s">
        <v>1771</v>
      </c>
      <c r="B67" s="2110" t="s">
        <v>2289</v>
      </c>
      <c r="C67" s="773">
        <f ca="1">ROUND(C66*(1-((1+F69)/(1+F67))^F68)/(F67-F69),0)</f>
        <v>-12267</v>
      </c>
      <c r="D67" s="803" t="s">
        <v>698</v>
      </c>
      <c r="E67" s="774" t="s">
        <v>699</v>
      </c>
      <c r="F67" s="784">
        <f ca="1">F40</f>
        <v>0.05</v>
      </c>
      <c r="K67" s="1966"/>
      <c r="O67" s="2251" t="s">
        <v>2366</v>
      </c>
      <c r="P67" s="2252" t="s">
        <v>2397</v>
      </c>
      <c r="Q67" s="2253">
        <f ca="1">L60</f>
        <v>0</v>
      </c>
      <c r="R67" s="2256" t="s">
        <v>2399</v>
      </c>
    </row>
    <row r="68" spans="1:18" ht="21.75" thickBot="1">
      <c r="A68" s="776"/>
      <c r="B68" s="777"/>
      <c r="C68" s="778"/>
      <c r="D68" s="810" t="s">
        <v>1799</v>
      </c>
      <c r="E68" s="774" t="s">
        <v>1775</v>
      </c>
      <c r="F68" s="811">
        <f ca="1">F41</f>
        <v>46.53</v>
      </c>
      <c r="O68" s="2254" t="s">
        <v>2368</v>
      </c>
      <c r="P68" s="2252" t="s">
        <v>2398</v>
      </c>
      <c r="Q68" s="2258">
        <f ca="1">L51</f>
        <v>-62626</v>
      </c>
      <c r="R68" s="2259" t="s">
        <v>2401</v>
      </c>
    </row>
    <row r="69" spans="1:18" ht="20.25" thickBot="1">
      <c r="A69" s="780"/>
      <c r="B69" s="781"/>
      <c r="C69" s="782"/>
      <c r="D69" s="805"/>
      <c r="E69" s="774" t="s">
        <v>704</v>
      </c>
      <c r="F69" s="2224"/>
      <c r="O69" s="2254" t="s">
        <v>2369</v>
      </c>
      <c r="P69" s="2260" t="s">
        <v>2383</v>
      </c>
      <c r="Q69" s="2253">
        <f ca="1">ROUND(Q70-Q71*Q72,0)</f>
        <v>-3035</v>
      </c>
      <c r="R69" s="2256"/>
    </row>
    <row r="70" spans="1:18" ht="15.75" thickBot="1">
      <c r="A70" s="812" t="s">
        <v>1778</v>
      </c>
      <c r="B70" s="813" t="s">
        <v>1801</v>
      </c>
      <c r="C70" s="814">
        <f ca="1">ROUND(C67*10000/F70,0)</f>
        <v>-1044</v>
      </c>
      <c r="D70" s="815" t="s">
        <v>1802</v>
      </c>
      <c r="E70" s="816" t="s">
        <v>1803</v>
      </c>
      <c r="F70" s="817">
        <f ca="1">F43</f>
        <v>117480.11</v>
      </c>
      <c r="O70" s="2254" t="s">
        <v>2384</v>
      </c>
      <c r="P70" s="2260" t="s">
        <v>2385</v>
      </c>
      <c r="Q70" s="2253">
        <f ca="1">C39</f>
        <v>421</v>
      </c>
      <c r="R70" s="2252" t="s">
        <v>2365</v>
      </c>
    </row>
    <row r="71" spans="1:18" ht="15.75" thickBot="1">
      <c r="O71" s="2254" t="s">
        <v>2386</v>
      </c>
      <c r="P71" s="2260" t="s">
        <v>2387</v>
      </c>
      <c r="Q71" s="2253">
        <f ca="1">C13</f>
        <v>40653</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10391</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578" t="s">
        <v>2452</v>
      </c>
      <c r="B1" s="3579"/>
      <c r="C1" s="3580"/>
      <c r="D1" s="3581">
        <f>SUM(I10,I15,I20,I21,I23)</f>
        <v>0</v>
      </c>
      <c r="E1" s="3581"/>
      <c r="F1" s="3581"/>
      <c r="G1" s="3581"/>
      <c r="H1" s="3581"/>
      <c r="I1" s="3582"/>
    </row>
    <row r="2" spans="1:9">
      <c r="A2" s="3583" t="s">
        <v>2453</v>
      </c>
      <c r="B2" s="3584" t="s">
        <v>2454</v>
      </c>
      <c r="C2" s="3584"/>
      <c r="D2" s="2358" t="s">
        <v>2455</v>
      </c>
      <c r="E2" s="2358" t="s">
        <v>2456</v>
      </c>
      <c r="F2" s="2358" t="s">
        <v>2457</v>
      </c>
      <c r="G2" s="2358" t="s">
        <v>2458</v>
      </c>
      <c r="H2" s="2358" t="s">
        <v>2459</v>
      </c>
      <c r="I2" s="2359" t="s">
        <v>2460</v>
      </c>
    </row>
    <row r="3" spans="1:9">
      <c r="A3" s="3583"/>
      <c r="B3" s="3584" t="s">
        <v>2461</v>
      </c>
      <c r="C3" s="3584"/>
      <c r="D3" s="2360"/>
      <c r="E3" s="2358"/>
      <c r="F3" s="2361"/>
      <c r="G3" s="2361"/>
      <c r="H3" s="2362"/>
      <c r="I3" s="2363">
        <f>ROUND(D3*E3*F3*G3*H3/10000,0)</f>
        <v>0</v>
      </c>
    </row>
    <row r="4" spans="1:9">
      <c r="A4" s="3583"/>
      <c r="B4" s="3584" t="s">
        <v>2462</v>
      </c>
      <c r="C4" s="3584"/>
      <c r="D4" s="2360"/>
      <c r="E4" s="2358"/>
      <c r="F4" s="2361"/>
      <c r="G4" s="2361"/>
      <c r="H4" s="2362"/>
      <c r="I4" s="2363">
        <f t="shared" ref="I4:I9" si="0">ROUND(D4*E4*F4*G4*H4/10000,0)</f>
        <v>0</v>
      </c>
    </row>
    <row r="5" spans="1:9">
      <c r="A5" s="3583"/>
      <c r="B5" s="3584" t="s">
        <v>2463</v>
      </c>
      <c r="C5" s="3584"/>
      <c r="D5" s="2360"/>
      <c r="E5" s="2358"/>
      <c r="F5" s="2361"/>
      <c r="G5" s="2361"/>
      <c r="H5" s="2362"/>
      <c r="I5" s="2363">
        <f t="shared" si="0"/>
        <v>0</v>
      </c>
    </row>
    <row r="6" spans="1:9">
      <c r="A6" s="3583"/>
      <c r="B6" s="3584" t="s">
        <v>2464</v>
      </c>
      <c r="C6" s="3584"/>
      <c r="D6" s="2360"/>
      <c r="E6" s="2358"/>
      <c r="F6" s="2361"/>
      <c r="G6" s="2361"/>
      <c r="H6" s="2362"/>
      <c r="I6" s="2363">
        <f t="shared" si="0"/>
        <v>0</v>
      </c>
    </row>
    <row r="7" spans="1:9">
      <c r="A7" s="3583"/>
      <c r="B7" s="3584" t="s">
        <v>2465</v>
      </c>
      <c r="C7" s="3584"/>
      <c r="D7" s="2360"/>
      <c r="E7" s="2358"/>
      <c r="F7" s="2361"/>
      <c r="G7" s="2361"/>
      <c r="H7" s="2362"/>
      <c r="I7" s="2363">
        <f t="shared" si="0"/>
        <v>0</v>
      </c>
    </row>
    <row r="8" spans="1:9">
      <c r="A8" s="3583"/>
      <c r="B8" s="3584" t="s">
        <v>2466</v>
      </c>
      <c r="C8" s="3584"/>
      <c r="D8" s="2360"/>
      <c r="E8" s="2358"/>
      <c r="F8" s="2361"/>
      <c r="G8" s="2361"/>
      <c r="H8" s="2362"/>
      <c r="I8" s="2363">
        <f t="shared" si="0"/>
        <v>0</v>
      </c>
    </row>
    <row r="9" spans="1:9">
      <c r="A9" s="3583"/>
      <c r="B9" s="3584" t="s">
        <v>2467</v>
      </c>
      <c r="C9" s="3584"/>
      <c r="D9" s="2360"/>
      <c r="E9" s="2358"/>
      <c r="F9" s="2361"/>
      <c r="G9" s="2361"/>
      <c r="H9" s="2362"/>
      <c r="I9" s="2363">
        <f t="shared" si="0"/>
        <v>0</v>
      </c>
    </row>
    <row r="10" spans="1:9">
      <c r="A10" s="3583"/>
      <c r="B10" s="3585" t="s">
        <v>2468</v>
      </c>
      <c r="C10" s="3585"/>
      <c r="D10" s="2364">
        <v>527</v>
      </c>
      <c r="E10" s="2364" t="e">
        <f>ROUND(D1*10000/D10/H9,0)</f>
        <v>#DIV/0!</v>
      </c>
      <c r="F10" s="2365"/>
      <c r="G10" s="2365"/>
      <c r="H10" s="2366"/>
      <c r="I10" s="2367">
        <f>SUM(I3:I9)</f>
        <v>0</v>
      </c>
    </row>
    <row r="11" spans="1:9" ht="14.25">
      <c r="A11" s="3583" t="s">
        <v>2469</v>
      </c>
      <c r="B11" s="3584" t="s">
        <v>2470</v>
      </c>
      <c r="C11" s="3584"/>
      <c r="D11" s="2360" t="s">
        <v>2471</v>
      </c>
      <c r="E11" s="2360" t="s">
        <v>2472</v>
      </c>
      <c r="F11" s="2361" t="s">
        <v>2473</v>
      </c>
      <c r="G11" s="2361" t="s">
        <v>2474</v>
      </c>
      <c r="H11" s="2368" t="s">
        <v>2475</v>
      </c>
      <c r="I11" s="2359" t="s">
        <v>2476</v>
      </c>
    </row>
    <row r="12" spans="1:9">
      <c r="A12" s="3583"/>
      <c r="B12" s="3584" t="s">
        <v>2477</v>
      </c>
      <c r="C12" s="3584"/>
      <c r="D12" s="2360"/>
      <c r="E12" s="2360"/>
      <c r="F12" s="2361"/>
      <c r="G12" s="2362"/>
      <c r="H12" s="2369"/>
      <c r="I12" s="2359">
        <f>ROUND(D12*E12*F12*G12/10000,0)</f>
        <v>0</v>
      </c>
    </row>
    <row r="13" spans="1:9">
      <c r="A13" s="3583"/>
      <c r="B13" s="3584" t="s">
        <v>2478</v>
      </c>
      <c r="C13" s="3584"/>
      <c r="D13" s="2360"/>
      <c r="E13" s="2360"/>
      <c r="F13" s="2361"/>
      <c r="G13" s="2362"/>
      <c r="H13" s="2369"/>
      <c r="I13" s="2359">
        <f>ROUND(D13*E13*F13*G13/10000,0)</f>
        <v>0</v>
      </c>
    </row>
    <row r="14" spans="1:9">
      <c r="A14" s="3583"/>
      <c r="B14" s="3584" t="s">
        <v>2479</v>
      </c>
      <c r="C14" s="3584"/>
      <c r="D14" s="2360"/>
      <c r="E14" s="2360"/>
      <c r="F14" s="2361"/>
      <c r="G14" s="2362"/>
      <c r="H14" s="2369"/>
      <c r="I14" s="2359">
        <f>ROUND(D14*E14*F14*G14/10000,0)</f>
        <v>0</v>
      </c>
    </row>
    <row r="15" spans="1:9">
      <c r="A15" s="3583"/>
      <c r="B15" s="3585" t="s">
        <v>2468</v>
      </c>
      <c r="C15" s="3585"/>
      <c r="D15" s="2364"/>
      <c r="E15" s="2364">
        <f>SUM(E12:E14)</f>
        <v>0</v>
      </c>
      <c r="F15" s="2365"/>
      <c r="G15" s="2362"/>
      <c r="H15" s="2369"/>
      <c r="I15" s="2370">
        <f>SUM(I12:I14)</f>
        <v>0</v>
      </c>
    </row>
    <row r="16" spans="1:9" ht="24">
      <c r="A16" s="3583" t="s">
        <v>2480</v>
      </c>
      <c r="B16" s="3584" t="s">
        <v>2481</v>
      </c>
      <c r="C16" s="3584"/>
      <c r="D16" s="2360" t="s">
        <v>2482</v>
      </c>
      <c r="E16" s="2371" t="s">
        <v>2483</v>
      </c>
      <c r="F16" s="2361" t="s">
        <v>2484</v>
      </c>
      <c r="G16" s="2362" t="s">
        <v>2474</v>
      </c>
      <c r="H16" s="2368" t="s">
        <v>2475</v>
      </c>
      <c r="I16" s="2359" t="s">
        <v>2476</v>
      </c>
    </row>
    <row r="17" spans="1:9" ht="14.25">
      <c r="A17" s="3583"/>
      <c r="B17" s="3584" t="s">
        <v>2485</v>
      </c>
      <c r="C17" s="3584"/>
      <c r="D17" s="2360"/>
      <c r="E17" s="2360"/>
      <c r="F17" s="2361"/>
      <c r="G17" s="2362"/>
      <c r="H17" s="2372"/>
      <c r="I17" s="2373">
        <f>ROUND(D17*E17*F17*G17/10000,0)</f>
        <v>0</v>
      </c>
    </row>
    <row r="18" spans="1:9" ht="14.25">
      <c r="A18" s="3583"/>
      <c r="B18" s="3584" t="s">
        <v>2486</v>
      </c>
      <c r="C18" s="3584"/>
      <c r="D18" s="2360"/>
      <c r="E18" s="2360"/>
      <c r="F18" s="2361"/>
      <c r="G18" s="2362"/>
      <c r="H18" s="2372"/>
      <c r="I18" s="2373">
        <f>ROUND(D18*E18*F18*G18/10000,0)</f>
        <v>0</v>
      </c>
    </row>
    <row r="19" spans="1:9" ht="14.25">
      <c r="A19" s="3583"/>
      <c r="B19" s="3584" t="s">
        <v>2487</v>
      </c>
      <c r="C19" s="3584"/>
      <c r="D19" s="2360"/>
      <c r="E19" s="2360"/>
      <c r="F19" s="2361"/>
      <c r="G19" s="2362"/>
      <c r="H19" s="2372"/>
      <c r="I19" s="2373">
        <f>ROUND(D19*E19*F19*G19/10000,0)</f>
        <v>0</v>
      </c>
    </row>
    <row r="20" spans="1:9">
      <c r="A20" s="3583"/>
      <c r="B20" s="3585" t="s">
        <v>2468</v>
      </c>
      <c r="C20" s="3585"/>
      <c r="D20" s="2364">
        <f>SUM(D17:D19)</f>
        <v>0</v>
      </c>
      <c r="E20" s="2364"/>
      <c r="F20" s="2365"/>
      <c r="G20" s="2362"/>
      <c r="H20" s="2369"/>
      <c r="I20" s="2370">
        <f>SUM(I17:I19)</f>
        <v>0</v>
      </c>
    </row>
    <row r="21" spans="1:9">
      <c r="A21" s="3583" t="s">
        <v>2488</v>
      </c>
      <c r="B21" s="3587"/>
      <c r="C21" s="3587"/>
      <c r="D21" s="3587"/>
      <c r="E21" s="3587"/>
      <c r="F21" s="3587"/>
      <c r="G21" s="3587"/>
      <c r="H21" s="2374">
        <v>0.1</v>
      </c>
      <c r="I21" s="2367">
        <f>ROUND(I10*H21,0)</f>
        <v>0</v>
      </c>
    </row>
    <row r="22" spans="1:9" ht="14.25">
      <c r="A22" s="3588" t="s">
        <v>2489</v>
      </c>
      <c r="B22" s="3589"/>
      <c r="C22" s="3590"/>
      <c r="D22" s="2375" t="s">
        <v>2490</v>
      </c>
      <c r="E22" s="2375" t="s">
        <v>2491</v>
      </c>
      <c r="F22" s="2376" t="s">
        <v>2492</v>
      </c>
      <c r="G22" s="2376" t="s">
        <v>2493</v>
      </c>
      <c r="H22" s="2368" t="s">
        <v>2494</v>
      </c>
      <c r="I22" s="2359" t="s">
        <v>2495</v>
      </c>
    </row>
    <row r="23" spans="1:9" ht="14.25" thickBot="1">
      <c r="A23" s="3591"/>
      <c r="B23" s="3592"/>
      <c r="C23" s="3593"/>
      <c r="D23" s="2377"/>
      <c r="E23" s="2377"/>
      <c r="F23" s="2377"/>
      <c r="G23" s="2378"/>
      <c r="H23" s="2379"/>
      <c r="I23" s="2380">
        <f>ROUND(E23*D23*F23*(1-G23)/10000,0)</f>
        <v>0</v>
      </c>
    </row>
    <row r="26" spans="1:9">
      <c r="A26" s="2381" t="s">
        <v>2496</v>
      </c>
      <c r="B26" s="2381"/>
      <c r="C26" s="2381"/>
      <c r="D26" s="2381"/>
      <c r="E26" s="3594">
        <f>C27-C30-C31-C32</f>
        <v>0</v>
      </c>
      <c r="F26" s="3594"/>
      <c r="G26" s="3594"/>
      <c r="H26" s="2752" t="s">
        <v>2822</v>
      </c>
    </row>
    <row r="27" spans="1:9">
      <c r="A27" s="2382">
        <v>1</v>
      </c>
      <c r="B27" s="2383" t="s">
        <v>2497</v>
      </c>
      <c r="C27" s="2383"/>
      <c r="D27" s="2383"/>
      <c r="E27" s="3595"/>
      <c r="F27" s="3595"/>
      <c r="G27" s="3595"/>
    </row>
    <row r="28" spans="1:9">
      <c r="A28" s="2384" t="s">
        <v>2498</v>
      </c>
      <c r="B28" s="2383" t="s">
        <v>2499</v>
      </c>
      <c r="C28" s="2383"/>
      <c r="D28" s="2383"/>
      <c r="E28" s="3595"/>
      <c r="F28" s="3595"/>
      <c r="G28" s="3595"/>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86"/>
      <c r="F32" s="3586"/>
      <c r="G32" s="3586"/>
    </row>
    <row r="33" spans="1:7" hidden="1">
      <c r="A33" s="3596" t="s">
        <v>2507</v>
      </c>
      <c r="B33" s="3597"/>
      <c r="C33" s="3597"/>
      <c r="D33" s="3598"/>
      <c r="E33" s="3594"/>
      <c r="F33" s="3594"/>
      <c r="G33" s="3594"/>
    </row>
    <row r="34" spans="1:7" hidden="1">
      <c r="A34" s="2386">
        <v>1</v>
      </c>
      <c r="B34" s="2383" t="s">
        <v>2508</v>
      </c>
      <c r="C34" s="2383"/>
      <c r="D34" s="2383"/>
      <c r="E34" s="3595"/>
      <c r="F34" s="3595"/>
      <c r="G34" s="3595"/>
    </row>
    <row r="35" spans="1:7" hidden="1">
      <c r="A35" s="2386">
        <v>2</v>
      </c>
      <c r="B35" s="2383" t="s">
        <v>2509</v>
      </c>
      <c r="C35" s="2383"/>
      <c r="D35" s="2383"/>
      <c r="E35" s="3595"/>
      <c r="F35" s="3595"/>
      <c r="G35" s="3595"/>
    </row>
    <row r="36" spans="1:7" hidden="1">
      <c r="A36" s="2386">
        <v>3</v>
      </c>
      <c r="B36" s="2383" t="s">
        <v>2510</v>
      </c>
      <c r="C36" s="2383"/>
      <c r="D36" s="2383"/>
      <c r="E36" s="3595"/>
      <c r="F36" s="3595"/>
      <c r="G36" s="3595"/>
    </row>
    <row r="37" spans="1:7" hidden="1">
      <c r="A37" s="2386">
        <v>4</v>
      </c>
      <c r="B37" s="2383" t="s">
        <v>2511</v>
      </c>
      <c r="C37" s="2383"/>
      <c r="D37" s="2383"/>
      <c r="E37" s="3595"/>
      <c r="F37" s="3595"/>
      <c r="G37" s="3595"/>
    </row>
    <row r="38" spans="1:7" hidden="1">
      <c r="A38" s="3596" t="s">
        <v>2512</v>
      </c>
      <c r="B38" s="3597"/>
      <c r="C38" s="3597"/>
      <c r="D38" s="3598"/>
      <c r="E38" s="3594"/>
      <c r="F38" s="3594"/>
      <c r="G38" s="35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4"/>
      <c r="C1" s="2061"/>
      <c r="D1" s="2061"/>
      <c r="E1" s="2061"/>
      <c r="F1" s="2061"/>
      <c r="G1" s="1988"/>
    </row>
    <row r="2" spans="1:25" s="1940" customFormat="1" ht="18" customHeight="1">
      <c r="A2" s="417" t="s">
        <v>461</v>
      </c>
      <c r="B2" s="419">
        <f ca="1">C23</f>
        <v>0</v>
      </c>
      <c r="C2" s="3264"/>
      <c r="D2" s="3264"/>
      <c r="E2" s="3264"/>
      <c r="F2" s="3264"/>
      <c r="G2" s="3264"/>
    </row>
    <row r="3" spans="1:25" s="1940" customFormat="1" ht="18" customHeight="1">
      <c r="A3" s="1328" t="s">
        <v>1676</v>
      </c>
      <c r="B3" s="419">
        <f ca="1">ROUND(B2*10000/'数据-汇总表'!E3,0)</f>
        <v>0</v>
      </c>
      <c r="C3" s="3264"/>
      <c r="D3" s="3264"/>
      <c r="E3" s="3264"/>
      <c r="F3" s="3264"/>
      <c r="G3" s="3264"/>
    </row>
    <row r="4" spans="1:25" s="1940" customFormat="1" ht="18" customHeight="1">
      <c r="A4" s="420" t="s">
        <v>462</v>
      </c>
      <c r="B4" s="421">
        <f ca="1">ROUND(B2*10000/'数据-汇总表'!D3,0)</f>
        <v>0</v>
      </c>
      <c r="C4" s="3217"/>
      <c r="D4" s="3264"/>
      <c r="E4" s="3264"/>
      <c r="F4" s="3264"/>
      <c r="G4" s="3264"/>
    </row>
    <row r="5" spans="1:25" s="1940" customFormat="1" ht="18" customHeight="1" thickBot="1">
      <c r="A5" s="423"/>
      <c r="B5" s="424">
        <f ca="1">ROUND(B2/('数据-汇总表'!D3/666.67),0)</f>
        <v>0</v>
      </c>
      <c r="C5" s="425" t="s">
        <v>463</v>
      </c>
      <c r="D5" s="3264"/>
      <c r="E5" s="3264"/>
      <c r="F5" s="3264"/>
      <c r="G5" s="3264"/>
    </row>
    <row r="6" spans="1:25" s="2062" customFormat="1" ht="13.5" customHeight="1">
      <c r="A6" s="735"/>
      <c r="B6" s="736" t="s">
        <v>598</v>
      </c>
      <c r="C6" s="737" t="s">
        <v>599</v>
      </c>
      <c r="D6" s="737" t="s">
        <v>600</v>
      </c>
      <c r="E6" s="738" t="s">
        <v>601</v>
      </c>
      <c r="F6" s="738" t="s">
        <v>602</v>
      </c>
      <c r="G6" s="3263" t="s">
        <v>2986</v>
      </c>
    </row>
    <row r="7" spans="1:25" s="2062" customFormat="1" ht="13.5" customHeight="1">
      <c r="A7" s="2321">
        <v>1</v>
      </c>
      <c r="B7" s="739" t="s">
        <v>603</v>
      </c>
      <c r="C7" s="740">
        <f>C8+C9</f>
        <v>0</v>
      </c>
      <c r="D7" s="740"/>
      <c r="E7" s="741"/>
      <c r="F7" s="741"/>
      <c r="G7" s="2330"/>
    </row>
    <row r="8" spans="1:25" s="2062" customFormat="1" ht="13.5" customHeight="1">
      <c r="A8" s="2321" t="s">
        <v>2423</v>
      </c>
      <c r="B8" s="2324" t="s">
        <v>2425</v>
      </c>
      <c r="C8" s="3267">
        <f t="shared" ref="C8:C9" si="0">ROUND(D8*E8/10000,0)</f>
        <v>0</v>
      </c>
      <c r="D8" s="3267">
        <v>0</v>
      </c>
      <c r="E8" s="3268">
        <v>0</v>
      </c>
      <c r="F8" s="741"/>
      <c r="G8" s="742"/>
    </row>
    <row r="9" spans="1:25" s="2062" customFormat="1" ht="13.5" customHeight="1">
      <c r="A9" s="2321" t="s">
        <v>2424</v>
      </c>
      <c r="B9" s="2324" t="s">
        <v>2426</v>
      </c>
      <c r="C9" s="3267">
        <f t="shared" si="0"/>
        <v>0</v>
      </c>
      <c r="D9" s="3267">
        <v>0</v>
      </c>
      <c r="E9" s="3268">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2423</v>
      </c>
      <c r="B11" s="743" t="s">
        <v>604</v>
      </c>
      <c r="C11" s="744">
        <f>'数据-取费表'!B29</f>
        <v>0</v>
      </c>
      <c r="D11" s="745"/>
      <c r="E11" s="744"/>
      <c r="F11" s="746"/>
      <c r="G11" s="2329" t="s">
        <v>2434</v>
      </c>
    </row>
    <row r="12" spans="1:25" s="2062" customFormat="1" ht="13.5" customHeight="1">
      <c r="A12" s="2327" t="s">
        <v>2431</v>
      </c>
      <c r="B12" s="747" t="s">
        <v>605</v>
      </c>
      <c r="C12" s="748">
        <f>ROUND(D12*E12/10000,0)</f>
        <v>1027</v>
      </c>
      <c r="D12" s="3267">
        <f>'数据-汇总表'!E5</f>
        <v>205401.75</v>
      </c>
      <c r="E12" s="3267">
        <f>'数据-取费表'!B27</f>
        <v>50</v>
      </c>
      <c r="F12" s="746"/>
      <c r="G12" s="749"/>
    </row>
    <row r="13" spans="1:25" s="2062" customFormat="1" ht="13.5" customHeight="1">
      <c r="A13" s="2327" t="s">
        <v>2430</v>
      </c>
      <c r="B13" s="747" t="s">
        <v>606</v>
      </c>
      <c r="C13" s="748">
        <f>ROUND(D13*E13/10000,0)</f>
        <v>378</v>
      </c>
      <c r="D13" s="3267">
        <f>'数据-汇总表'!E6</f>
        <v>126133.10999999999</v>
      </c>
      <c r="E13" s="3267">
        <f>'数据-取费表'!B28</f>
        <v>30</v>
      </c>
      <c r="F13" s="746"/>
      <c r="G13" s="749"/>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9" t="s">
        <v>609</v>
      </c>
      <c r="C16" s="3269">
        <f t="shared" ref="C16" si="2">ROUND(D16*E16/10000,0)</f>
        <v>0</v>
      </c>
      <c r="D16" s="3267">
        <v>0</v>
      </c>
      <c r="E16" s="3268">
        <v>0</v>
      </c>
      <c r="F16" s="751"/>
      <c r="G16" s="749"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0.91700000000000004</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6" zoomScale="70" zoomScaleNormal="60" zoomScaleSheetLayoutView="70" workbookViewId="0">
      <selection activeCell="M23" sqref="M23"/>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3012</v>
      </c>
      <c r="E1" s="2007"/>
      <c r="F1" s="2522" t="s">
        <v>3117</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54489</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5561</v>
      </c>
      <c r="C3" s="841" t="s">
        <v>716</v>
      </c>
      <c r="D3" s="840">
        <f>SUMIF('数据-汇总表'!$C19:$C33,D1,'数据-汇总表'!$E19:$E33)</f>
        <v>97984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3290"/>
      <c r="Y4" s="3496" t="s">
        <v>521</v>
      </c>
      <c r="Z4" s="3497"/>
      <c r="AA4" s="3485" t="s">
        <v>517</v>
      </c>
      <c r="AB4" s="3485" t="s">
        <v>518</v>
      </c>
      <c r="AC4" s="3485" t="s">
        <v>519</v>
      </c>
    </row>
    <row r="5" spans="1:29" ht="15">
      <c r="A5" s="509"/>
      <c r="B5" s="510"/>
      <c r="C5" s="3504" t="s">
        <v>2886</v>
      </c>
      <c r="D5" s="3505"/>
      <c r="E5" s="3599" t="s">
        <v>3091</v>
      </c>
      <c r="F5" s="3525"/>
      <c r="G5" s="3600" t="s">
        <v>3121</v>
      </c>
      <c r="H5" s="3505"/>
      <c r="I5" s="3600" t="s">
        <v>3120</v>
      </c>
      <c r="J5" s="3505"/>
      <c r="K5" s="843"/>
      <c r="L5" s="2013"/>
      <c r="M5" s="2014"/>
      <c r="N5" s="2014"/>
      <c r="O5" s="2014"/>
      <c r="P5" s="3492"/>
      <c r="Q5" s="3493"/>
      <c r="R5" s="3498"/>
      <c r="S5" s="3499"/>
      <c r="T5" s="3498"/>
      <c r="U5" s="3499"/>
      <c r="V5" s="3483"/>
      <c r="W5" s="3483"/>
      <c r="X5" s="3290"/>
      <c r="Y5" s="3498"/>
      <c r="Z5" s="3499"/>
      <c r="AA5" s="3486"/>
      <c r="AB5" s="3486"/>
      <c r="AC5" s="3486"/>
    </row>
    <row r="6" spans="1:29" ht="15.7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3290"/>
      <c r="Y6" s="3500"/>
      <c r="Z6" s="3501"/>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75" thickBot="1">
      <c r="A8" s="2628"/>
      <c r="B8" s="2635" t="s">
        <v>525</v>
      </c>
      <c r="C8" s="519" t="s">
        <v>570</v>
      </c>
      <c r="D8" s="514">
        <v>100</v>
      </c>
      <c r="E8" s="845" t="s">
        <v>3071</v>
      </c>
      <c r="F8" s="516">
        <f>SUMIF(61:61,E8,62:62)-SUMIF(61:61,C8,62:62)+100</f>
        <v>100</v>
      </c>
      <c r="G8" s="519" t="s">
        <v>3071</v>
      </c>
      <c r="H8" s="514">
        <f>SUMIF(61:61,G8,62:62)-SUMIF(61:61,C8,62:62)+100</f>
        <v>100</v>
      </c>
      <c r="I8" s="845" t="s">
        <v>3071</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3101</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3285" t="str">
        <f t="shared" ref="Q9:Q15" si="6">B9</f>
        <v>用途</v>
      </c>
      <c r="R9" s="1500" t="s">
        <v>8</v>
      </c>
      <c r="S9" s="1501">
        <f t="shared" si="0"/>
        <v>100</v>
      </c>
      <c r="T9" s="1500" t="s">
        <v>8</v>
      </c>
      <c r="U9" s="1501">
        <f t="shared" si="1"/>
        <v>100</v>
      </c>
      <c r="V9" s="1500" t="s">
        <v>8</v>
      </c>
      <c r="W9" s="1501">
        <f t="shared" si="2"/>
        <v>100</v>
      </c>
      <c r="X9" s="1502"/>
      <c r="Y9" s="3428" t="s">
        <v>530</v>
      </c>
      <c r="Z9" s="3283" t="str">
        <f t="shared" ref="Z9:Z15" si="7">Q9</f>
        <v>用途</v>
      </c>
      <c r="AA9" s="1503">
        <f t="shared" si="3"/>
        <v>1</v>
      </c>
      <c r="AB9" s="1503">
        <f t="shared" si="4"/>
        <v>1</v>
      </c>
      <c r="AC9" s="1503">
        <f t="shared" si="5"/>
        <v>1</v>
      </c>
    </row>
    <row r="10" spans="1:29" s="1290" customFormat="1" ht="27">
      <c r="A10" s="2630"/>
      <c r="B10" s="2635" t="s">
        <v>2737</v>
      </c>
      <c r="C10" s="850" t="s">
        <v>3102</v>
      </c>
      <c r="D10" s="253">
        <v>100</v>
      </c>
      <c r="E10" s="851" t="s">
        <v>3102</v>
      </c>
      <c r="F10" s="852">
        <f>SUMIF(65:65,E10,66:66)-SUMIF(65:65,C10,66:66)+100</f>
        <v>100</v>
      </c>
      <c r="G10" s="850" t="s">
        <v>3102</v>
      </c>
      <c r="H10" s="253">
        <f>SUMIF(65:65,G10,66:66)-SUMIF(65:65,C10,66:66)+100</f>
        <v>100</v>
      </c>
      <c r="I10" s="850" t="s">
        <v>3102</v>
      </c>
      <c r="J10" s="253">
        <f>SUMIF(65:65,I10,66:66)-SUMIF(65:65,C10,66:66)+100</f>
        <v>100</v>
      </c>
      <c r="K10" s="853"/>
      <c r="L10" s="2018"/>
      <c r="M10" s="2057"/>
      <c r="N10" s="2057"/>
      <c r="O10" s="2019"/>
      <c r="P10" s="3482"/>
      <c r="Q10" s="3285" t="str">
        <f t="shared" si="6"/>
        <v>土地使用年限（年）</v>
      </c>
      <c r="R10" s="1500" t="s">
        <v>8</v>
      </c>
      <c r="S10" s="1501">
        <f t="shared" si="0"/>
        <v>100</v>
      </c>
      <c r="T10" s="1500" t="s">
        <v>8</v>
      </c>
      <c r="U10" s="1501">
        <f t="shared" si="1"/>
        <v>100</v>
      </c>
      <c r="V10" s="1500" t="s">
        <v>8</v>
      </c>
      <c r="W10" s="1501">
        <f t="shared" si="2"/>
        <v>100</v>
      </c>
      <c r="X10" s="1502"/>
      <c r="Y10" s="3428"/>
      <c r="Z10" s="3283"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2.9</v>
      </c>
      <c r="H11" s="253">
        <f>LOOKUP(G11,68:68,69:69)-LOOKUP(C11,68:68,69:69)+100</f>
        <v>94</v>
      </c>
      <c r="I11" s="527">
        <v>1.5</v>
      </c>
      <c r="J11" s="253">
        <f>LOOKUP(I11,68:68,69:69)-LOOKUP(C11,68:68,69:69)+100</f>
        <v>98</v>
      </c>
      <c r="K11" s="853">
        <f>'不动产比较法-住宅'!K11</f>
        <v>2</v>
      </c>
      <c r="L11" s="2020"/>
      <c r="M11" s="2014"/>
      <c r="N11" s="2014"/>
      <c r="O11" s="2021"/>
      <c r="P11" s="3482"/>
      <c r="Q11" s="3285" t="str">
        <f t="shared" si="6"/>
        <v>容积率</v>
      </c>
      <c r="R11" s="1500" t="s">
        <v>11</v>
      </c>
      <c r="S11" s="1501">
        <f t="shared" si="0"/>
        <v>98</v>
      </c>
      <c r="T11" s="1500" t="s">
        <v>11</v>
      </c>
      <c r="U11" s="1501">
        <f t="shared" si="1"/>
        <v>94</v>
      </c>
      <c r="V11" s="1500" t="s">
        <v>11</v>
      </c>
      <c r="W11" s="1501">
        <f t="shared" si="2"/>
        <v>98</v>
      </c>
      <c r="X11" s="1502"/>
      <c r="Y11" s="3428"/>
      <c r="Z11" s="3283" t="str">
        <f t="shared" si="7"/>
        <v>容积率</v>
      </c>
      <c r="AA11" s="1503">
        <f t="shared" si="3"/>
        <v>1.0204081632653061</v>
      </c>
      <c r="AB11" s="1503">
        <f t="shared" si="4"/>
        <v>1.0638297872340425</v>
      </c>
      <c r="AC11" s="1503">
        <f t="shared" si="5"/>
        <v>1.0204081632653061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3285">
        <f t="shared" si="6"/>
        <v>111</v>
      </c>
      <c r="R12" s="1500" t="s">
        <v>11</v>
      </c>
      <c r="S12" s="1501">
        <f t="shared" si="0"/>
        <v>100</v>
      </c>
      <c r="T12" s="1500" t="s">
        <v>11</v>
      </c>
      <c r="U12" s="1501">
        <f t="shared" si="1"/>
        <v>100</v>
      </c>
      <c r="V12" s="1500" t="s">
        <v>11</v>
      </c>
      <c r="W12" s="1501">
        <f t="shared" si="2"/>
        <v>100</v>
      </c>
      <c r="X12" s="1502"/>
      <c r="Y12" s="3428"/>
      <c r="Z12" s="3283">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3285">
        <f t="shared" si="6"/>
        <v>111</v>
      </c>
      <c r="R13" s="1500" t="s">
        <v>11</v>
      </c>
      <c r="S13" s="1501">
        <f t="shared" si="0"/>
        <v>100</v>
      </c>
      <c r="T13" s="1500" t="s">
        <v>11</v>
      </c>
      <c r="U13" s="1501">
        <f t="shared" si="1"/>
        <v>100</v>
      </c>
      <c r="V13" s="1500" t="s">
        <v>11</v>
      </c>
      <c r="W13" s="1501">
        <f t="shared" si="2"/>
        <v>100</v>
      </c>
      <c r="X13" s="1502"/>
      <c r="Y13" s="3428"/>
      <c r="Z13" s="3283">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3285">
        <f t="shared" si="6"/>
        <v>111</v>
      </c>
      <c r="R14" s="1500" t="s">
        <v>11</v>
      </c>
      <c r="S14" s="1501">
        <f t="shared" si="0"/>
        <v>100</v>
      </c>
      <c r="T14" s="1500" t="s">
        <v>11</v>
      </c>
      <c r="U14" s="1501">
        <f t="shared" si="1"/>
        <v>100</v>
      </c>
      <c r="V14" s="1500" t="s">
        <v>11</v>
      </c>
      <c r="W14" s="1501">
        <f t="shared" si="2"/>
        <v>100</v>
      </c>
      <c r="X14" s="1502"/>
      <c r="Y14" s="3428"/>
      <c r="Z14" s="3283">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f>'不动产比较法-住宅'!K15</f>
        <v>4</v>
      </c>
      <c r="L15" s="2022"/>
      <c r="M15" s="2014"/>
      <c r="N15" s="2014"/>
      <c r="O15" s="2021"/>
      <c r="P15" s="3516" t="s">
        <v>534</v>
      </c>
      <c r="Q15" s="3291" t="str">
        <f t="shared" si="6"/>
        <v>居住社区成熟度</v>
      </c>
      <c r="R15" s="1505" t="s">
        <v>11</v>
      </c>
      <c r="S15" s="1506">
        <f t="shared" si="0"/>
        <v>104</v>
      </c>
      <c r="T15" s="1505" t="s">
        <v>11</v>
      </c>
      <c r="U15" s="1506">
        <f t="shared" si="1"/>
        <v>104</v>
      </c>
      <c r="V15" s="1505" t="s">
        <v>11</v>
      </c>
      <c r="W15" s="1506">
        <f t="shared" si="2"/>
        <v>104</v>
      </c>
      <c r="X15" s="3290"/>
      <c r="Y15" s="3516" t="s">
        <v>534</v>
      </c>
      <c r="Z15" s="3292" t="str">
        <f t="shared" si="7"/>
        <v>居住社区成熟度</v>
      </c>
      <c r="AA15" s="3293">
        <f t="shared" si="3"/>
        <v>0.96153846153846156</v>
      </c>
      <c r="AB15" s="3293">
        <f t="shared" si="4"/>
        <v>0.96153846153846156</v>
      </c>
      <c r="AC15" s="3293">
        <f t="shared" si="5"/>
        <v>0.96153846153846156</v>
      </c>
    </row>
    <row r="16" spans="1:29" ht="15">
      <c r="A16" s="526"/>
      <c r="B16" s="858"/>
      <c r="C16" s="570" t="s">
        <v>3080</v>
      </c>
      <c r="D16" s="549"/>
      <c r="E16" s="550" t="s">
        <v>3113</v>
      </c>
      <c r="F16" s="551"/>
      <c r="G16" s="552" t="s">
        <v>3113</v>
      </c>
      <c r="H16" s="553"/>
      <c r="I16" s="550" t="s">
        <v>3113</v>
      </c>
      <c r="J16" s="549"/>
      <c r="K16" s="859"/>
      <c r="L16" s="2022"/>
      <c r="M16" s="2014"/>
      <c r="N16" s="2014"/>
      <c r="O16" s="2021"/>
      <c r="P16" s="3517"/>
      <c r="Q16" s="3291"/>
      <c r="R16" s="1505"/>
      <c r="S16" s="1506"/>
      <c r="T16" s="1505"/>
      <c r="U16" s="1506"/>
      <c r="V16" s="1505"/>
      <c r="W16" s="1506"/>
      <c r="X16" s="3290"/>
      <c r="Y16" s="3517"/>
      <c r="Z16" s="3292"/>
      <c r="AA16" s="3293">
        <v>1</v>
      </c>
      <c r="AB16" s="3293">
        <v>1</v>
      </c>
      <c r="AC16" s="3293">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f>'不动产比较法-住宅'!K17</f>
        <v>3</v>
      </c>
      <c r="L17" s="2022"/>
      <c r="M17" s="2014"/>
      <c r="N17" s="2014"/>
      <c r="O17" s="2021"/>
      <c r="P17" s="3517"/>
      <c r="Q17" s="3291" t="str">
        <f>B17</f>
        <v>交通便捷度</v>
      </c>
      <c r="R17" s="1505" t="s">
        <v>11</v>
      </c>
      <c r="S17" s="1506">
        <f>F17</f>
        <v>103</v>
      </c>
      <c r="T17" s="1505" t="s">
        <v>11</v>
      </c>
      <c r="U17" s="1506">
        <f>H17</f>
        <v>103</v>
      </c>
      <c r="V17" s="1505" t="s">
        <v>11</v>
      </c>
      <c r="W17" s="1506">
        <f>J17</f>
        <v>103</v>
      </c>
      <c r="X17" s="3290"/>
      <c r="Y17" s="3517"/>
      <c r="Z17" s="3292" t="str">
        <f>Q17</f>
        <v>交通便捷度</v>
      </c>
      <c r="AA17" s="3293">
        <f t="shared" si="3"/>
        <v>0.970873786407767</v>
      </c>
      <c r="AB17" s="3293">
        <f t="shared" si="4"/>
        <v>0.970873786407767</v>
      </c>
      <c r="AC17" s="3293">
        <f t="shared" si="5"/>
        <v>0.970873786407767</v>
      </c>
    </row>
    <row r="18" spans="1:29" ht="15">
      <c r="A18" s="526"/>
      <c r="B18" s="589"/>
      <c r="C18" s="862" t="s">
        <v>3080</v>
      </c>
      <c r="D18" s="553"/>
      <c r="E18" s="562" t="s">
        <v>3113</v>
      </c>
      <c r="F18" s="557"/>
      <c r="G18" s="563" t="s">
        <v>3113</v>
      </c>
      <c r="H18" s="549"/>
      <c r="I18" s="562" t="s">
        <v>3113</v>
      </c>
      <c r="J18" s="549"/>
      <c r="K18" s="859"/>
      <c r="L18" s="2022"/>
      <c r="M18" s="2014"/>
      <c r="N18" s="2014"/>
      <c r="O18" s="2021"/>
      <c r="P18" s="3517"/>
      <c r="Q18" s="3291"/>
      <c r="R18" s="1505"/>
      <c r="S18" s="1506"/>
      <c r="T18" s="1505"/>
      <c r="U18" s="1506"/>
      <c r="V18" s="1505"/>
      <c r="W18" s="1506"/>
      <c r="X18" s="3290"/>
      <c r="Y18" s="3517"/>
      <c r="Z18" s="3292"/>
      <c r="AA18" s="3293">
        <v>1</v>
      </c>
      <c r="AB18" s="3293">
        <v>1</v>
      </c>
      <c r="AC18" s="3293">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2"/>
      <c r="M19" s="2014"/>
      <c r="N19" s="2014"/>
      <c r="O19" s="2021"/>
      <c r="P19" s="3517"/>
      <c r="Q19" s="3291" t="str">
        <f>B19</f>
        <v>公共配套设施</v>
      </c>
      <c r="R19" s="1505" t="s">
        <v>11</v>
      </c>
      <c r="S19" s="1506">
        <f>F19</f>
        <v>102</v>
      </c>
      <c r="T19" s="1505" t="s">
        <v>11</v>
      </c>
      <c r="U19" s="1506">
        <f>H19</f>
        <v>102</v>
      </c>
      <c r="V19" s="1505" t="s">
        <v>11</v>
      </c>
      <c r="W19" s="1506">
        <f>J19</f>
        <v>102</v>
      </c>
      <c r="X19" s="3290"/>
      <c r="Y19" s="3517"/>
      <c r="Z19" s="3292" t="str">
        <f>Q19</f>
        <v>公共配套设施</v>
      </c>
      <c r="AA19" s="3293">
        <f t="shared" si="3"/>
        <v>0.98039215686274506</v>
      </c>
      <c r="AB19" s="3293">
        <f t="shared" si="4"/>
        <v>0.98039215686274506</v>
      </c>
      <c r="AC19" s="3293">
        <f t="shared" si="5"/>
        <v>0.98039215686274506</v>
      </c>
    </row>
    <row r="20" spans="1:29" ht="15">
      <c r="A20" s="526"/>
      <c r="B20" s="589"/>
      <c r="C20" s="570" t="s">
        <v>3080</v>
      </c>
      <c r="D20" s="549"/>
      <c r="E20" s="550" t="s">
        <v>3113</v>
      </c>
      <c r="F20" s="551"/>
      <c r="G20" s="552" t="s">
        <v>3113</v>
      </c>
      <c r="H20" s="549"/>
      <c r="I20" s="550" t="s">
        <v>3113</v>
      </c>
      <c r="J20" s="549"/>
      <c r="K20" s="859"/>
      <c r="L20" s="2022"/>
      <c r="M20" s="2014"/>
      <c r="N20" s="2014"/>
      <c r="O20" s="2021"/>
      <c r="P20" s="3517"/>
      <c r="Q20" s="3291"/>
      <c r="R20" s="1505"/>
      <c r="S20" s="1506"/>
      <c r="T20" s="1505"/>
      <c r="U20" s="1506"/>
      <c r="V20" s="1505"/>
      <c r="W20" s="1506"/>
      <c r="X20" s="3290"/>
      <c r="Y20" s="3517"/>
      <c r="Z20" s="3292"/>
      <c r="AA20" s="3293">
        <v>1</v>
      </c>
      <c r="AB20" s="3293">
        <v>1</v>
      </c>
      <c r="AC20" s="3293">
        <v>1</v>
      </c>
    </row>
    <row r="21" spans="1:29" ht="28.5">
      <c r="A21" s="526"/>
      <c r="B21" s="2435"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3291" t="str">
        <f>B21</f>
        <v>基础设施水平</v>
      </c>
      <c r="R21" s="1505" t="s">
        <v>11</v>
      </c>
      <c r="S21" s="1506">
        <f>F21</f>
        <v>100</v>
      </c>
      <c r="T21" s="1505" t="s">
        <v>11</v>
      </c>
      <c r="U21" s="1506">
        <f>H21</f>
        <v>100</v>
      </c>
      <c r="V21" s="1505" t="s">
        <v>11</v>
      </c>
      <c r="W21" s="1506">
        <f>J21</f>
        <v>100</v>
      </c>
      <c r="X21" s="3290"/>
      <c r="Y21" s="3517"/>
      <c r="Z21" s="3292" t="str">
        <f>Q21</f>
        <v>基础设施水平</v>
      </c>
      <c r="AA21" s="3293">
        <f t="shared" ref="AA21" si="8">D21/F21</f>
        <v>1</v>
      </c>
      <c r="AB21" s="3293">
        <f t="shared" ref="AB21" si="9">D21/H21</f>
        <v>1</v>
      </c>
      <c r="AC21" s="3293">
        <f t="shared" ref="AC21" si="10">D21/J21</f>
        <v>1</v>
      </c>
    </row>
    <row r="22" spans="1:29" ht="15">
      <c r="A22" s="526"/>
      <c r="B22" s="909"/>
      <c r="C22" s="862" t="s">
        <v>3103</v>
      </c>
      <c r="D22" s="549"/>
      <c r="E22" s="570" t="s">
        <v>3103</v>
      </c>
      <c r="F22" s="551"/>
      <c r="G22" s="570" t="s">
        <v>3103</v>
      </c>
      <c r="H22" s="549"/>
      <c r="I22" s="570" t="s">
        <v>3103</v>
      </c>
      <c r="J22" s="549"/>
      <c r="K22" s="2441"/>
      <c r="L22" s="2022"/>
      <c r="M22" s="2014"/>
      <c r="N22" s="2014"/>
      <c r="O22" s="2021"/>
      <c r="P22" s="3517"/>
      <c r="Q22" s="3291"/>
      <c r="R22" s="1505"/>
      <c r="S22" s="1506"/>
      <c r="T22" s="1505"/>
      <c r="U22" s="1506"/>
      <c r="V22" s="1505"/>
      <c r="W22" s="1506"/>
      <c r="X22" s="3290"/>
      <c r="Y22" s="3517"/>
      <c r="Z22" s="3292"/>
      <c r="AA22" s="3293">
        <v>1</v>
      </c>
      <c r="AB22" s="3293">
        <v>1</v>
      </c>
      <c r="AC22" s="3293">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3291" t="str">
        <f>B23</f>
        <v>自然及人文环境</v>
      </c>
      <c r="R23" s="1505" t="s">
        <v>11</v>
      </c>
      <c r="S23" s="1506">
        <f>F23</f>
        <v>100</v>
      </c>
      <c r="T23" s="1505" t="s">
        <v>11</v>
      </c>
      <c r="U23" s="1506">
        <f>H23</f>
        <v>100</v>
      </c>
      <c r="V23" s="1505" t="s">
        <v>11</v>
      </c>
      <c r="W23" s="1506">
        <f>J23</f>
        <v>100</v>
      </c>
      <c r="X23" s="3290"/>
      <c r="Y23" s="3517"/>
      <c r="Z23" s="3292" t="str">
        <f>Q23</f>
        <v>自然及人文环境</v>
      </c>
      <c r="AA23" s="3293">
        <f t="shared" si="3"/>
        <v>1</v>
      </c>
      <c r="AB23" s="3293">
        <f t="shared" si="4"/>
        <v>1</v>
      </c>
      <c r="AC23" s="3293">
        <f t="shared" si="5"/>
        <v>1</v>
      </c>
    </row>
    <row r="24" spans="1:29" ht="15.75" thickBot="1">
      <c r="A24" s="526"/>
      <c r="B24" s="589"/>
      <c r="C24" s="570" t="s">
        <v>3113</v>
      </c>
      <c r="D24" s="549"/>
      <c r="E24" s="550" t="s">
        <v>3113</v>
      </c>
      <c r="F24" s="551"/>
      <c r="G24" s="552" t="s">
        <v>3113</v>
      </c>
      <c r="H24" s="549"/>
      <c r="I24" s="550" t="s">
        <v>3113</v>
      </c>
      <c r="J24" s="549"/>
      <c r="K24" s="859"/>
      <c r="L24" s="2022"/>
      <c r="M24" s="2014"/>
      <c r="N24" s="2014"/>
      <c r="O24" s="2021"/>
      <c r="P24" s="3517"/>
      <c r="Q24" s="3291"/>
      <c r="R24" s="1505"/>
      <c r="S24" s="1506"/>
      <c r="T24" s="1505"/>
      <c r="U24" s="1506"/>
      <c r="V24" s="1505"/>
      <c r="W24" s="1506"/>
      <c r="X24" s="3290"/>
      <c r="Y24" s="3517"/>
      <c r="Z24" s="3292"/>
      <c r="AA24" s="3293">
        <v>1</v>
      </c>
      <c r="AB24" s="3293">
        <v>1</v>
      </c>
      <c r="AC24" s="3293">
        <v>1</v>
      </c>
    </row>
    <row r="25" spans="1:29" ht="15.75" hidden="1" thickBot="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3291" t="str">
        <f t="shared" ref="Q25:Q46" si="11">B25</f>
        <v>楼层-1</v>
      </c>
      <c r="R25" s="1505" t="s">
        <v>11</v>
      </c>
      <c r="S25" s="1506">
        <f>F25</f>
        <v>100</v>
      </c>
      <c r="T25" s="1505" t="s">
        <v>11</v>
      </c>
      <c r="U25" s="1506">
        <f>H25</f>
        <v>100</v>
      </c>
      <c r="V25" s="1505" t="s">
        <v>11</v>
      </c>
      <c r="W25" s="1506">
        <f>J25</f>
        <v>100</v>
      </c>
      <c r="X25" s="3290"/>
      <c r="Y25" s="3517"/>
      <c r="Z25" s="3292" t="str">
        <f>Q25</f>
        <v>楼层-1</v>
      </c>
      <c r="AA25" s="3293">
        <f t="shared" si="3"/>
        <v>1</v>
      </c>
      <c r="AB25" s="3293">
        <f t="shared" si="4"/>
        <v>1</v>
      </c>
      <c r="AC25" s="3293">
        <f t="shared" si="5"/>
        <v>1</v>
      </c>
    </row>
    <row r="26" spans="1:29" ht="15.75"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3291" t="str">
        <f t="shared" si="11"/>
        <v>朝向</v>
      </c>
      <c r="R26" s="1505" t="s">
        <v>11</v>
      </c>
      <c r="S26" s="1506">
        <f>F26</f>
        <v>100</v>
      </c>
      <c r="T26" s="1505" t="s">
        <v>11</v>
      </c>
      <c r="U26" s="1506">
        <f>H26</f>
        <v>100</v>
      </c>
      <c r="V26" s="1505" t="s">
        <v>11</v>
      </c>
      <c r="W26" s="1506">
        <f>J26</f>
        <v>100</v>
      </c>
      <c r="X26" s="3290"/>
      <c r="Y26" s="3517"/>
      <c r="Z26" s="3292" t="str">
        <f>Q26</f>
        <v>朝向</v>
      </c>
      <c r="AA26" s="3293">
        <f t="shared" si="3"/>
        <v>1</v>
      </c>
      <c r="AB26" s="3293">
        <f t="shared" si="4"/>
        <v>1</v>
      </c>
      <c r="AC26" s="3293">
        <f t="shared" si="5"/>
        <v>1</v>
      </c>
    </row>
    <row r="27" spans="1:29" s="1201"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3285" t="str">
        <f t="shared" si="11"/>
        <v>道路级别</v>
      </c>
      <c r="R27" s="1500" t="s">
        <v>11</v>
      </c>
      <c r="S27" s="1501">
        <f>F27</f>
        <v>100</v>
      </c>
      <c r="T27" s="1500" t="s">
        <v>11</v>
      </c>
      <c r="U27" s="1501">
        <f>H27</f>
        <v>100</v>
      </c>
      <c r="V27" s="1500" t="s">
        <v>11</v>
      </c>
      <c r="W27" s="1501">
        <f>J27</f>
        <v>100</v>
      </c>
      <c r="X27" s="1502"/>
      <c r="Y27" s="3517"/>
      <c r="Z27" s="3283" t="str">
        <f>Q27</f>
        <v>道路级别</v>
      </c>
      <c r="AA27" s="3293">
        <f>D27/F27</f>
        <v>1</v>
      </c>
      <c r="AB27" s="3293">
        <f>D27/H27</f>
        <v>1</v>
      </c>
      <c r="AC27" s="3293">
        <f>D27/J27</f>
        <v>1</v>
      </c>
    </row>
    <row r="28" spans="1:29" ht="15.75"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3291">
        <f t="shared" si="11"/>
        <v>111</v>
      </c>
      <c r="R28" s="1505" t="s">
        <v>11</v>
      </c>
      <c r="S28" s="1506">
        <f t="shared" ref="S28:S46" si="12">F28</f>
        <v>100</v>
      </c>
      <c r="T28" s="1505" t="s">
        <v>11</v>
      </c>
      <c r="U28" s="1506">
        <f t="shared" ref="U28:U46" si="13">H28</f>
        <v>100</v>
      </c>
      <c r="V28" s="1505" t="s">
        <v>11</v>
      </c>
      <c r="W28" s="1506">
        <f t="shared" ref="W28:W46" si="14">J28</f>
        <v>100</v>
      </c>
      <c r="X28" s="3290"/>
      <c r="Y28" s="3517"/>
      <c r="Z28" s="3292">
        <f t="shared" ref="Z28:Z46" si="15">Q28</f>
        <v>111</v>
      </c>
      <c r="AA28" s="3293">
        <f t="shared" si="3"/>
        <v>1</v>
      </c>
      <c r="AB28" s="3293">
        <f t="shared" si="4"/>
        <v>1</v>
      </c>
      <c r="AC28" s="3293">
        <f t="shared" si="5"/>
        <v>1</v>
      </c>
    </row>
    <row r="29" spans="1:29" ht="15.75"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3291">
        <f t="shared" si="11"/>
        <v>111</v>
      </c>
      <c r="R29" s="1505" t="s">
        <v>11</v>
      </c>
      <c r="S29" s="1506">
        <f t="shared" si="12"/>
        <v>100</v>
      </c>
      <c r="T29" s="1505" t="s">
        <v>11</v>
      </c>
      <c r="U29" s="1506">
        <f t="shared" si="13"/>
        <v>100</v>
      </c>
      <c r="V29" s="1505" t="s">
        <v>11</v>
      </c>
      <c r="W29" s="1506">
        <f t="shared" si="14"/>
        <v>100</v>
      </c>
      <c r="X29" s="3290"/>
      <c r="Y29" s="3517"/>
      <c r="Z29" s="3292">
        <f t="shared" si="15"/>
        <v>111</v>
      </c>
      <c r="AA29" s="3293">
        <f t="shared" si="3"/>
        <v>1</v>
      </c>
      <c r="AB29" s="3293">
        <f t="shared" si="4"/>
        <v>1</v>
      </c>
      <c r="AC29" s="3293">
        <f t="shared" si="5"/>
        <v>1</v>
      </c>
    </row>
    <row r="30" spans="1:29" ht="15.75"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3291">
        <f t="shared" si="11"/>
        <v>111</v>
      </c>
      <c r="R30" s="1505" t="s">
        <v>11</v>
      </c>
      <c r="S30" s="1506">
        <f t="shared" si="12"/>
        <v>100</v>
      </c>
      <c r="T30" s="1505" t="s">
        <v>11</v>
      </c>
      <c r="U30" s="1506">
        <f t="shared" si="13"/>
        <v>100</v>
      </c>
      <c r="V30" s="1505" t="s">
        <v>11</v>
      </c>
      <c r="W30" s="1506">
        <f t="shared" si="14"/>
        <v>100</v>
      </c>
      <c r="X30" s="3290"/>
      <c r="Y30" s="3517"/>
      <c r="Z30" s="3292">
        <f t="shared" si="15"/>
        <v>111</v>
      </c>
      <c r="AA30" s="3293">
        <f t="shared" si="3"/>
        <v>1</v>
      </c>
      <c r="AB30" s="3293">
        <f t="shared" si="4"/>
        <v>1</v>
      </c>
      <c r="AC30" s="3293">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3291">
        <f t="shared" si="11"/>
        <v>111</v>
      </c>
      <c r="R31" s="1505" t="s">
        <v>11</v>
      </c>
      <c r="S31" s="1506">
        <f t="shared" si="12"/>
        <v>100</v>
      </c>
      <c r="T31" s="1505" t="s">
        <v>11</v>
      </c>
      <c r="U31" s="1506">
        <f t="shared" si="13"/>
        <v>100</v>
      </c>
      <c r="V31" s="1505" t="s">
        <v>11</v>
      </c>
      <c r="W31" s="1506">
        <f t="shared" si="14"/>
        <v>100</v>
      </c>
      <c r="X31" s="3290"/>
      <c r="Y31" s="3517"/>
      <c r="Z31" s="3292">
        <f t="shared" si="15"/>
        <v>111</v>
      </c>
      <c r="AA31" s="3293">
        <f t="shared" si="3"/>
        <v>1</v>
      </c>
      <c r="AB31" s="3293">
        <f t="shared" si="4"/>
        <v>1</v>
      </c>
      <c r="AC31" s="3293">
        <f t="shared" si="5"/>
        <v>1</v>
      </c>
    </row>
    <row r="32" spans="1:29" ht="15">
      <c r="A32" s="2622" t="s">
        <v>2735</v>
      </c>
      <c r="B32" s="170" t="s">
        <v>719</v>
      </c>
      <c r="C32" s="867" t="s">
        <v>3012</v>
      </c>
      <c r="D32" s="591">
        <v>100</v>
      </c>
      <c r="E32" s="868" t="s">
        <v>3012</v>
      </c>
      <c r="F32" s="569">
        <f>SUMIF(100:100,E32,101:101)-SUMIF(100:100,C32,101:101)+100</f>
        <v>100</v>
      </c>
      <c r="G32" s="867" t="s">
        <v>3012</v>
      </c>
      <c r="H32" s="591">
        <f>SUMIF(100:100,G32,101:101)-SUMIF(100:100,C32,101:101)+100</f>
        <v>100</v>
      </c>
      <c r="I32" s="868" t="s">
        <v>3012</v>
      </c>
      <c r="J32" s="534">
        <f>SUMIF(100:100,I32,101:101)-SUMIF(100:100,C32,101:101)+100</f>
        <v>100</v>
      </c>
      <c r="K32" s="853">
        <v>5</v>
      </c>
      <c r="L32" s="2022"/>
      <c r="M32" s="2014"/>
      <c r="N32" s="2014"/>
      <c r="O32" s="2021"/>
      <c r="P32" s="3518" t="s">
        <v>544</v>
      </c>
      <c r="Q32" s="3291" t="str">
        <f t="shared" si="11"/>
        <v>建筑类型</v>
      </c>
      <c r="R32" s="1505" t="s">
        <v>11</v>
      </c>
      <c r="S32" s="1506">
        <f t="shared" si="12"/>
        <v>100</v>
      </c>
      <c r="T32" s="1505" t="s">
        <v>11</v>
      </c>
      <c r="U32" s="1506">
        <f t="shared" si="13"/>
        <v>100</v>
      </c>
      <c r="V32" s="1505" t="s">
        <v>11</v>
      </c>
      <c r="W32" s="1506">
        <f t="shared" si="14"/>
        <v>100</v>
      </c>
      <c r="X32" s="3290"/>
      <c r="Y32" s="3519" t="s">
        <v>544</v>
      </c>
      <c r="Z32" s="3292" t="str">
        <f t="shared" si="15"/>
        <v>建筑类型</v>
      </c>
      <c r="AA32" s="3293">
        <f t="shared" si="3"/>
        <v>1</v>
      </c>
      <c r="AB32" s="3293">
        <f t="shared" si="4"/>
        <v>1</v>
      </c>
      <c r="AC32" s="3293">
        <f t="shared" si="5"/>
        <v>1</v>
      </c>
    </row>
    <row r="33" spans="1:29" s="1291" customFormat="1" ht="15">
      <c r="A33" s="597"/>
      <c r="B33" s="521" t="s">
        <v>720</v>
      </c>
      <c r="C33" s="869">
        <f>'数据-基础表'!B3</f>
        <v>362676.11</v>
      </c>
      <c r="D33" s="253">
        <v>100</v>
      </c>
      <c r="E33" s="528">
        <v>191390.22</v>
      </c>
      <c r="F33" s="852">
        <f>LOOKUP(E33,103:103,104:104)-LOOKUP(C33,103:103,104:104)+100</f>
        <v>98</v>
      </c>
      <c r="G33" s="527">
        <v>530000</v>
      </c>
      <c r="H33" s="253">
        <f>LOOKUP(G33,103:103,104:104)-LOOKUP(C33,103:103,104:104)+100</f>
        <v>102</v>
      </c>
      <c r="I33" s="528">
        <v>1640000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102</v>
      </c>
      <c r="V33" s="1509" t="s">
        <v>11</v>
      </c>
      <c r="W33" s="1510">
        <f t="shared" si="14"/>
        <v>103</v>
      </c>
      <c r="X33" s="1511"/>
      <c r="Y33" s="3519"/>
      <c r="Z33" s="1512" t="str">
        <f t="shared" si="15"/>
        <v>项目建筑规模</v>
      </c>
      <c r="AA33" s="3293">
        <f t="shared" si="3"/>
        <v>1.0204081632653061</v>
      </c>
      <c r="AB33" s="3293">
        <f t="shared" si="4"/>
        <v>0.98039215686274506</v>
      </c>
      <c r="AC33" s="3293">
        <f t="shared" si="5"/>
        <v>0.970873786407767</v>
      </c>
    </row>
    <row r="34" spans="1:29" ht="15">
      <c r="A34" s="588"/>
      <c r="B34" s="521" t="s">
        <v>721</v>
      </c>
      <c r="C34" s="870" t="s">
        <v>3079</v>
      </c>
      <c r="D34" s="534">
        <v>100</v>
      </c>
      <c r="E34" s="870" t="s">
        <v>3079</v>
      </c>
      <c r="F34" s="569">
        <f>SUMIF(105:105,E34,106:106)-SUMIF(105:105,C34,106:106)+100</f>
        <v>100</v>
      </c>
      <c r="G34" s="870" t="s">
        <v>3079</v>
      </c>
      <c r="H34" s="534">
        <f>SUMIF(105:105,G34,106:106)-SUMIF(105:105,C34,106:106)+100</f>
        <v>100</v>
      </c>
      <c r="I34" s="870" t="s">
        <v>3079</v>
      </c>
      <c r="J34" s="534">
        <f>SUMIF(105:105,I34,106:106)-SUMIF(105:105,C34,106:106)+100</f>
        <v>100</v>
      </c>
      <c r="K34" s="853">
        <v>1</v>
      </c>
      <c r="L34" s="2022"/>
      <c r="M34" s="2014"/>
      <c r="N34" s="2014"/>
      <c r="O34" s="2021"/>
      <c r="P34" s="3519"/>
      <c r="Q34" s="3291" t="str">
        <f t="shared" si="11"/>
        <v>建筑结构</v>
      </c>
      <c r="R34" s="1505" t="s">
        <v>11</v>
      </c>
      <c r="S34" s="1506">
        <f t="shared" si="12"/>
        <v>100</v>
      </c>
      <c r="T34" s="1505" t="s">
        <v>11</v>
      </c>
      <c r="U34" s="1506">
        <f t="shared" si="13"/>
        <v>100</v>
      </c>
      <c r="V34" s="1505" t="s">
        <v>11</v>
      </c>
      <c r="W34" s="1506">
        <f t="shared" si="14"/>
        <v>100</v>
      </c>
      <c r="X34" s="3290"/>
      <c r="Y34" s="3519"/>
      <c r="Z34" s="3292" t="str">
        <f t="shared" si="15"/>
        <v>建筑结构</v>
      </c>
      <c r="AA34" s="3293">
        <f t="shared" si="3"/>
        <v>1</v>
      </c>
      <c r="AB34" s="3293">
        <f t="shared" si="4"/>
        <v>1</v>
      </c>
      <c r="AC34" s="3293">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3291" t="str">
        <f t="shared" si="11"/>
        <v>建筑品质</v>
      </c>
      <c r="R35" s="1505" t="s">
        <v>11</v>
      </c>
      <c r="S35" s="1506">
        <f t="shared" si="12"/>
        <v>100</v>
      </c>
      <c r="T35" s="1505" t="s">
        <v>11</v>
      </c>
      <c r="U35" s="1506">
        <f t="shared" si="13"/>
        <v>100</v>
      </c>
      <c r="V35" s="1505" t="s">
        <v>11</v>
      </c>
      <c r="W35" s="1506">
        <f t="shared" si="14"/>
        <v>100</v>
      </c>
      <c r="X35" s="3290"/>
      <c r="Y35" s="3519"/>
      <c r="Z35" s="3292" t="str">
        <f t="shared" si="15"/>
        <v>建筑品质</v>
      </c>
      <c r="AA35" s="3293">
        <f t="shared" si="3"/>
        <v>1</v>
      </c>
      <c r="AB35" s="3293">
        <f t="shared" si="4"/>
        <v>1</v>
      </c>
      <c r="AC35" s="3293">
        <f t="shared" si="5"/>
        <v>1</v>
      </c>
    </row>
    <row r="36" spans="1:29" ht="15">
      <c r="A36" s="588"/>
      <c r="B36" s="521" t="s">
        <v>723</v>
      </c>
      <c r="C36" s="593" t="s">
        <v>3095</v>
      </c>
      <c r="D36" s="534">
        <v>100</v>
      </c>
      <c r="E36" s="593" t="s">
        <v>3095</v>
      </c>
      <c r="F36" s="569">
        <f>SUMIF(109:109,E36,110:110)-SUMIF(109:109,C36,110:110)+100</f>
        <v>100</v>
      </c>
      <c r="G36" s="593" t="s">
        <v>3095</v>
      </c>
      <c r="H36" s="534">
        <f>SUMIF(109:109,G36,110:110)-SUMIF(109:109,C36,110:110)+100</f>
        <v>100</v>
      </c>
      <c r="I36" s="593" t="s">
        <v>3095</v>
      </c>
      <c r="J36" s="534">
        <f>SUMIF(109:109,I36,110:110)-SUMIF(109:109,C36,110:110)+100</f>
        <v>100</v>
      </c>
      <c r="K36" s="853">
        <v>1</v>
      </c>
      <c r="L36" s="2022"/>
      <c r="M36" s="2014"/>
      <c r="N36" s="2014"/>
      <c r="O36" s="2021"/>
      <c r="P36" s="3519"/>
      <c r="Q36" s="3291" t="str">
        <f t="shared" si="11"/>
        <v>公共部分装修</v>
      </c>
      <c r="R36" s="1505" t="s">
        <v>11</v>
      </c>
      <c r="S36" s="1506">
        <f t="shared" si="12"/>
        <v>100</v>
      </c>
      <c r="T36" s="1505" t="s">
        <v>11</v>
      </c>
      <c r="U36" s="1506">
        <f t="shared" si="13"/>
        <v>100</v>
      </c>
      <c r="V36" s="1505" t="s">
        <v>11</v>
      </c>
      <c r="W36" s="1506">
        <f t="shared" si="14"/>
        <v>100</v>
      </c>
      <c r="X36" s="3290"/>
      <c r="Y36" s="3519"/>
      <c r="Z36" s="3292" t="str">
        <f t="shared" si="15"/>
        <v>公共部分装修</v>
      </c>
      <c r="AA36" s="3293">
        <f t="shared" si="3"/>
        <v>1</v>
      </c>
      <c r="AB36" s="3293">
        <f t="shared" si="4"/>
        <v>1</v>
      </c>
      <c r="AC36" s="3293">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3285" t="str">
        <f t="shared" si="11"/>
        <v>成新度</v>
      </c>
      <c r="R37" s="1500" t="s">
        <v>11</v>
      </c>
      <c r="S37" s="1501">
        <f t="shared" si="12"/>
        <v>100</v>
      </c>
      <c r="T37" s="1500" t="s">
        <v>11</v>
      </c>
      <c r="U37" s="1501">
        <f t="shared" si="13"/>
        <v>100</v>
      </c>
      <c r="V37" s="1500" t="s">
        <v>11</v>
      </c>
      <c r="W37" s="1501">
        <f t="shared" si="14"/>
        <v>100</v>
      </c>
      <c r="X37" s="1502"/>
      <c r="Y37" s="3519"/>
      <c r="Z37" s="3283" t="str">
        <f t="shared" si="15"/>
        <v>成新度</v>
      </c>
      <c r="AA37" s="1503">
        <f t="shared" si="3"/>
        <v>1</v>
      </c>
      <c r="AB37" s="1503">
        <f t="shared" si="4"/>
        <v>1</v>
      </c>
      <c r="AC37" s="1503">
        <f t="shared" si="5"/>
        <v>1</v>
      </c>
    </row>
    <row r="38" spans="1:29" ht="15">
      <c r="A38" s="588"/>
      <c r="B38" s="521" t="s">
        <v>725</v>
      </c>
      <c r="C38" s="593" t="s">
        <v>3106</v>
      </c>
      <c r="D38" s="534">
        <v>100</v>
      </c>
      <c r="E38" s="593" t="s">
        <v>3106</v>
      </c>
      <c r="F38" s="569">
        <f>SUMIF(114:114,E38,115:115)-SUMIF(114:114,C38,115:115)+100</f>
        <v>100</v>
      </c>
      <c r="G38" s="593" t="s">
        <v>3106</v>
      </c>
      <c r="H38" s="534">
        <f>SUMIF(114:114,G38,115:115)-SUMIF(114:114,C38,115:115)+100</f>
        <v>100</v>
      </c>
      <c r="I38" s="593" t="s">
        <v>3106</v>
      </c>
      <c r="J38" s="534">
        <f>SUMIF(114:114,I38,115:115)-SUMIF(114:114,C38,115:115)+100</f>
        <v>100</v>
      </c>
      <c r="K38" s="853">
        <v>1</v>
      </c>
      <c r="L38" s="2022"/>
      <c r="M38" s="2014"/>
      <c r="N38" s="2014"/>
      <c r="O38" s="2021"/>
      <c r="P38" s="3519" t="s">
        <v>544</v>
      </c>
      <c r="Q38" s="3291" t="str">
        <f t="shared" si="11"/>
        <v>物业管理</v>
      </c>
      <c r="R38" s="1505" t="s">
        <v>11</v>
      </c>
      <c r="S38" s="1506">
        <f t="shared" si="12"/>
        <v>100</v>
      </c>
      <c r="T38" s="1505" t="s">
        <v>11</v>
      </c>
      <c r="U38" s="1506">
        <f t="shared" si="13"/>
        <v>100</v>
      </c>
      <c r="V38" s="1505" t="s">
        <v>11</v>
      </c>
      <c r="W38" s="1506">
        <f t="shared" si="14"/>
        <v>100</v>
      </c>
      <c r="X38" s="3290"/>
      <c r="Y38" s="3519" t="s">
        <v>544</v>
      </c>
      <c r="Z38" s="3292" t="str">
        <f t="shared" si="15"/>
        <v>物业管理</v>
      </c>
      <c r="AA38" s="3293">
        <f t="shared" si="3"/>
        <v>1</v>
      </c>
      <c r="AB38" s="3293">
        <f t="shared" si="4"/>
        <v>1</v>
      </c>
      <c r="AC38" s="3293">
        <f t="shared" si="5"/>
        <v>1</v>
      </c>
    </row>
    <row r="39" spans="1:29" ht="15">
      <c r="A39" s="588"/>
      <c r="B39" s="1807" t="s">
        <v>2545</v>
      </c>
      <c r="C39" s="593" t="s">
        <v>3103</v>
      </c>
      <c r="D39" s="534">
        <v>100</v>
      </c>
      <c r="E39" s="593" t="s">
        <v>3103</v>
      </c>
      <c r="F39" s="569">
        <f>SUMIF(116:116,E39,117:117)-SUMIF(116:116,C39,117:117)+100</f>
        <v>100</v>
      </c>
      <c r="G39" s="593" t="s">
        <v>3103</v>
      </c>
      <c r="H39" s="534">
        <f>SUMIF(116:116,G39,117:117)-SUMIF(116:116,C39,117:117)+100</f>
        <v>100</v>
      </c>
      <c r="I39" s="593" t="s">
        <v>3103</v>
      </c>
      <c r="J39" s="534">
        <f>SUMIF(116:116,I39,117:117)-SUMIF(116:116,C39,117:117)+100</f>
        <v>100</v>
      </c>
      <c r="K39" s="853">
        <v>1</v>
      </c>
      <c r="L39" s="2022"/>
      <c r="M39" s="2014"/>
      <c r="N39" s="2014"/>
      <c r="O39" s="2021"/>
      <c r="P39" s="3519"/>
      <c r="Q39" s="3291" t="str">
        <f t="shared" si="11"/>
        <v>市政基础设施</v>
      </c>
      <c r="R39" s="1505" t="s">
        <v>11</v>
      </c>
      <c r="S39" s="1506">
        <f t="shared" si="12"/>
        <v>100</v>
      </c>
      <c r="T39" s="1505" t="s">
        <v>11</v>
      </c>
      <c r="U39" s="1506">
        <f t="shared" si="13"/>
        <v>100</v>
      </c>
      <c r="V39" s="1505" t="s">
        <v>11</v>
      </c>
      <c r="W39" s="1506">
        <f t="shared" si="14"/>
        <v>100</v>
      </c>
      <c r="X39" s="3290"/>
      <c r="Y39" s="3519"/>
      <c r="Z39" s="3292" t="str">
        <f t="shared" si="15"/>
        <v>市政基础设施</v>
      </c>
      <c r="AA39" s="3293">
        <f t="shared" si="3"/>
        <v>1</v>
      </c>
      <c r="AB39" s="3293">
        <f t="shared" si="4"/>
        <v>1</v>
      </c>
      <c r="AC39" s="3293">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3291" t="str">
        <f t="shared" si="11"/>
        <v>房型</v>
      </c>
      <c r="R40" s="1505" t="s">
        <v>11</v>
      </c>
      <c r="S40" s="1506">
        <f t="shared" si="12"/>
        <v>100</v>
      </c>
      <c r="T40" s="1505" t="s">
        <v>11</v>
      </c>
      <c r="U40" s="1506">
        <f t="shared" si="13"/>
        <v>100</v>
      </c>
      <c r="V40" s="1505" t="s">
        <v>11</v>
      </c>
      <c r="W40" s="1506">
        <f t="shared" si="14"/>
        <v>100</v>
      </c>
      <c r="X40" s="3290"/>
      <c r="Y40" s="3519"/>
      <c r="Z40" s="3292" t="str">
        <f t="shared" si="15"/>
        <v>房型</v>
      </c>
      <c r="AA40" s="3293">
        <f t="shared" si="3"/>
        <v>1</v>
      </c>
      <c r="AB40" s="3293">
        <f t="shared" si="4"/>
        <v>1</v>
      </c>
      <c r="AC40" s="3293">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3293">
        <f t="shared" si="3"/>
        <v>1</v>
      </c>
      <c r="AB41" s="3293">
        <f t="shared" si="4"/>
        <v>1</v>
      </c>
      <c r="AC41" s="3293">
        <f t="shared" si="5"/>
        <v>1</v>
      </c>
    </row>
    <row r="42" spans="1:29" ht="15">
      <c r="A42" s="588"/>
      <c r="B42" s="521" t="s">
        <v>728</v>
      </c>
      <c r="C42" s="593" t="s">
        <v>3099</v>
      </c>
      <c r="D42" s="534">
        <v>100</v>
      </c>
      <c r="E42" s="863" t="s">
        <v>3099</v>
      </c>
      <c r="F42" s="569">
        <f>SUMIF(122:122,E42,123:123)-SUMIF(122:122,C42,123:123)+100</f>
        <v>100</v>
      </c>
      <c r="G42" s="863" t="s">
        <v>3099</v>
      </c>
      <c r="H42" s="534">
        <f>SUMIF(122:122,G42,123:123)-SUMIF(122:122,C42,123:123)+100</f>
        <v>100</v>
      </c>
      <c r="I42" s="863" t="s">
        <v>3099</v>
      </c>
      <c r="J42" s="534">
        <f>SUMIF(122:122,I42,123:123)-SUMIF(122:122,C42,123:123)+100</f>
        <v>100</v>
      </c>
      <c r="K42" s="853">
        <v>1</v>
      </c>
      <c r="L42" s="2022"/>
      <c r="M42" s="2014"/>
      <c r="N42" s="2014"/>
      <c r="O42" s="2021"/>
      <c r="P42" s="3519"/>
      <c r="Q42" s="3291" t="str">
        <f t="shared" si="11"/>
        <v>内部装修</v>
      </c>
      <c r="R42" s="1505" t="s">
        <v>11</v>
      </c>
      <c r="S42" s="1506">
        <f t="shared" si="12"/>
        <v>100</v>
      </c>
      <c r="T42" s="1505" t="s">
        <v>11</v>
      </c>
      <c r="U42" s="1506">
        <f t="shared" si="13"/>
        <v>100</v>
      </c>
      <c r="V42" s="1505" t="s">
        <v>11</v>
      </c>
      <c r="W42" s="1506">
        <f t="shared" si="14"/>
        <v>100</v>
      </c>
      <c r="X42" s="3290"/>
      <c r="Y42" s="3519"/>
      <c r="Z42" s="3292" t="str">
        <f t="shared" si="15"/>
        <v>内部装修</v>
      </c>
      <c r="AA42" s="3293">
        <f t="shared" si="3"/>
        <v>1</v>
      </c>
      <c r="AB42" s="3293">
        <f t="shared" si="4"/>
        <v>1</v>
      </c>
      <c r="AC42" s="3293">
        <f t="shared" si="5"/>
        <v>1</v>
      </c>
    </row>
    <row r="43" spans="1:29" ht="27">
      <c r="A43" s="588"/>
      <c r="B43" s="521" t="s">
        <v>729</v>
      </c>
      <c r="C43" s="593" t="s">
        <v>3081</v>
      </c>
      <c r="D43" s="534">
        <v>100</v>
      </c>
      <c r="E43" s="863" t="s">
        <v>3081</v>
      </c>
      <c r="F43" s="569">
        <f>SUMIF(124:124,E43,125:125)-SUMIF(124:124,C43,125:125)+100</f>
        <v>100</v>
      </c>
      <c r="G43" s="863" t="s">
        <v>3081</v>
      </c>
      <c r="H43" s="534">
        <f>SUMIF(124:124,G43,125:125)-SUMIF(124:124,C43,125:125)+100</f>
        <v>100</v>
      </c>
      <c r="I43" s="863" t="s">
        <v>3081</v>
      </c>
      <c r="J43" s="534">
        <f>SUMIF(124:124,I43,125:125)-SUMIF(124:124,C43,125:125)+100</f>
        <v>100</v>
      </c>
      <c r="K43" s="853">
        <v>1</v>
      </c>
      <c r="L43" s="2022"/>
      <c r="M43" s="2014"/>
      <c r="N43" s="2014"/>
      <c r="O43" s="2021"/>
      <c r="P43" s="3519"/>
      <c r="Q43" s="3291" t="str">
        <f t="shared" si="11"/>
        <v>内部装修维护情况</v>
      </c>
      <c r="R43" s="1505" t="s">
        <v>11</v>
      </c>
      <c r="S43" s="1506">
        <f t="shared" si="12"/>
        <v>100</v>
      </c>
      <c r="T43" s="1505" t="s">
        <v>11</v>
      </c>
      <c r="U43" s="1506">
        <f t="shared" si="13"/>
        <v>100</v>
      </c>
      <c r="V43" s="1505" t="s">
        <v>11</v>
      </c>
      <c r="W43" s="1506">
        <f t="shared" si="14"/>
        <v>100</v>
      </c>
      <c r="X43" s="3290"/>
      <c r="Y43" s="3519"/>
      <c r="Z43" s="3292" t="str">
        <f t="shared" si="15"/>
        <v>内部装修维护情况</v>
      </c>
      <c r="AA43" s="3293">
        <f t="shared" si="3"/>
        <v>1</v>
      </c>
      <c r="AB43" s="3293">
        <f t="shared" si="4"/>
        <v>1</v>
      </c>
      <c r="AC43" s="3293">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3285">
        <f t="shared" si="11"/>
        <v>111</v>
      </c>
      <c r="R44" s="1500" t="s">
        <v>11</v>
      </c>
      <c r="S44" s="1501">
        <f t="shared" si="12"/>
        <v>100</v>
      </c>
      <c r="T44" s="1500" t="s">
        <v>11</v>
      </c>
      <c r="U44" s="1501">
        <f t="shared" si="13"/>
        <v>100</v>
      </c>
      <c r="V44" s="1500" t="s">
        <v>11</v>
      </c>
      <c r="W44" s="1501">
        <f t="shared" si="14"/>
        <v>100</v>
      </c>
      <c r="X44" s="1502"/>
      <c r="Y44" s="3519"/>
      <c r="Z44" s="3283">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3291">
        <f t="shared" si="11"/>
        <v>111</v>
      </c>
      <c r="R45" s="1505" t="s">
        <v>11</v>
      </c>
      <c r="S45" s="1506">
        <f t="shared" si="12"/>
        <v>100</v>
      </c>
      <c r="T45" s="1505" t="s">
        <v>11</v>
      </c>
      <c r="U45" s="1506">
        <f t="shared" si="13"/>
        <v>100</v>
      </c>
      <c r="V45" s="1505" t="s">
        <v>11</v>
      </c>
      <c r="W45" s="1506">
        <f t="shared" si="14"/>
        <v>100</v>
      </c>
      <c r="X45" s="3290"/>
      <c r="Y45" s="3519"/>
      <c r="Z45" s="3292">
        <f t="shared" si="15"/>
        <v>111</v>
      </c>
      <c r="AA45" s="3293">
        <f t="shared" si="3"/>
        <v>1</v>
      </c>
      <c r="AB45" s="3293">
        <f t="shared" si="4"/>
        <v>1</v>
      </c>
      <c r="AC45" s="3293">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3291">
        <f t="shared" si="11"/>
        <v>111</v>
      </c>
      <c r="R46" s="1505" t="s">
        <v>10</v>
      </c>
      <c r="S46" s="1506">
        <f t="shared" si="12"/>
        <v>100</v>
      </c>
      <c r="T46" s="1505" t="s">
        <v>10</v>
      </c>
      <c r="U46" s="1506">
        <f t="shared" si="13"/>
        <v>100</v>
      </c>
      <c r="V46" s="1505" t="s">
        <v>10</v>
      </c>
      <c r="W46" s="1506">
        <f t="shared" si="14"/>
        <v>100</v>
      </c>
      <c r="X46" s="3290"/>
      <c r="Y46" s="3601"/>
      <c r="Z46" s="3292">
        <f t="shared" si="15"/>
        <v>111</v>
      </c>
      <c r="AA46" s="3293">
        <f t="shared" si="3"/>
        <v>1</v>
      </c>
      <c r="AB46" s="3293">
        <f t="shared" si="4"/>
        <v>1</v>
      </c>
      <c r="AC46" s="3293">
        <f t="shared" si="5"/>
        <v>1</v>
      </c>
    </row>
    <row r="47" spans="1:29" ht="15">
      <c r="A47" s="601" t="s">
        <v>730</v>
      </c>
      <c r="B47" s="875"/>
      <c r="C47" s="2468" t="s">
        <v>9</v>
      </c>
      <c r="D47" s="2469"/>
      <c r="E47" s="2470">
        <f>ROUND(5500*E51,0)</f>
        <v>5445</v>
      </c>
      <c r="F47" s="2471"/>
      <c r="G47" s="2470">
        <f>ROUND(6180*E51,0)</f>
        <v>6118</v>
      </c>
      <c r="H47" s="2473"/>
      <c r="I47" s="2470">
        <f>ROUND(6300*E51,0)</f>
        <v>6237</v>
      </c>
      <c r="J47" s="2473"/>
      <c r="K47" s="1534"/>
      <c r="L47" s="2024"/>
      <c r="M47" s="2025"/>
      <c r="N47" s="2014"/>
      <c r="O47" s="2025"/>
      <c r="P47" s="3482" t="str">
        <f>A47</f>
        <v>成交单价（元/平方米）</v>
      </c>
      <c r="Q47" s="3482"/>
      <c r="R47" s="3602">
        <f>E47</f>
        <v>5445</v>
      </c>
      <c r="S47" s="3602"/>
      <c r="T47" s="3602">
        <f>G47</f>
        <v>6118</v>
      </c>
      <c r="U47" s="3602"/>
      <c r="V47" s="3602">
        <f>I47</f>
        <v>6237</v>
      </c>
      <c r="W47" s="3602"/>
      <c r="X47" s="1494"/>
      <c r="Y47" s="1513"/>
      <c r="Z47" s="1494"/>
      <c r="AA47" s="1494"/>
      <c r="AB47" s="1494"/>
      <c r="AC47" s="1494"/>
    </row>
    <row r="48" spans="1:29" ht="15.75" thickBot="1">
      <c r="A48" s="609" t="s">
        <v>2673</v>
      </c>
      <c r="B48" s="876"/>
      <c r="C48" s="2474">
        <f>R49</f>
        <v>5561</v>
      </c>
      <c r="D48" s="3010" t="s">
        <v>2960</v>
      </c>
      <c r="E48" s="2475">
        <f>R48</f>
        <v>5189</v>
      </c>
      <c r="F48" s="3011"/>
      <c r="G48" s="2474">
        <f>T48</f>
        <v>5840</v>
      </c>
      <c r="H48" s="3011"/>
      <c r="I48" s="2475">
        <f>V48</f>
        <v>5655</v>
      </c>
      <c r="J48" s="3011"/>
      <c r="K48" s="3019">
        <f>F48+H48+J48</f>
        <v>0</v>
      </c>
      <c r="L48" s="2024"/>
      <c r="M48" s="2025"/>
      <c r="N48" s="2025"/>
      <c r="O48" s="2025"/>
      <c r="P48" s="3482" t="str">
        <f>A48</f>
        <v>比较价格（元/平方米）</v>
      </c>
      <c r="Q48" s="3482"/>
      <c r="R48" s="3602">
        <f>IF(F1="售价",ROUND(PRODUCT(R47,AA7:AA46),0),ROUND(PRODUCT(R47,AA7:AA46),1))</f>
        <v>5189</v>
      </c>
      <c r="S48" s="3602"/>
      <c r="T48" s="3602">
        <f>IF(F1="售价",ROUND(PRODUCT(T47,AB7:AB46),0),ROUND(PRODUCT(T47,AB7:AB46),1))</f>
        <v>5840</v>
      </c>
      <c r="U48" s="3602"/>
      <c r="V48" s="3602">
        <f>IF(F1="售价",ROUND(PRODUCT(V47,AC7:AC46),0),ROUND(PRODUCT(V47,AC7:AC46),1))</f>
        <v>5655</v>
      </c>
      <c r="W48" s="3602"/>
      <c r="X48" s="1494"/>
      <c r="Y48" s="1494"/>
      <c r="Z48" s="1494"/>
      <c r="AA48" s="1494"/>
      <c r="AB48" s="1494"/>
      <c r="AC48" s="1494"/>
    </row>
    <row r="49" spans="1:29" ht="15.75" thickBot="1">
      <c r="A49" s="613" t="s">
        <v>2892</v>
      </c>
      <c r="B49" s="614"/>
      <c r="C49" s="2476">
        <f>R49</f>
        <v>5561</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5561</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0.99</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4.9335132010021265E-2</v>
      </c>
      <c r="F52" s="619" t="str">
        <f>IF(OR(E52&gt;=0.3,E52&lt;=-0.3),"超过30%","")</f>
        <v/>
      </c>
      <c r="G52" s="618">
        <f>IF(G47&lt;G48,G48/G47-1,G47/G48-1)</f>
        <v>4.7602739726027465E-2</v>
      </c>
      <c r="H52" s="619" t="str">
        <f>IF(OR(G52&gt;=0.3,G52&lt;=-0.3),"超过30%","")</f>
        <v/>
      </c>
      <c r="I52" s="618">
        <f>IF(I47&lt;I48,I48/I47-1,I47/I48-1)</f>
        <v>0.10291777188328921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0.1254576989786087</v>
      </c>
      <c r="F53" s="619" t="str">
        <f>IF(OR(E53&gt;=0.2,E53&lt;=-0.2),"超过20%","")</f>
        <v/>
      </c>
      <c r="G53" s="618">
        <f>IF(G48&lt;I48,I48/G48-1,G48/I48-1)</f>
        <v>3.2714412024756889E-2</v>
      </c>
      <c r="H53" s="619" t="str">
        <f>IF(OR(G53&gt;=0.2,G53&lt;=-0.2),"超过20%","")</f>
        <v/>
      </c>
      <c r="I53" s="618">
        <f>IF(I48&lt;E48,E48/I48-1,I48/E48-1)</f>
        <v>8.9805357486991699E-2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0.12359963269054175</v>
      </c>
      <c r="F54" s="619" t="str">
        <f>IF(OR(E54&gt;=0.3,E54&lt;=-0.3),"超过30%","")</f>
        <v/>
      </c>
      <c r="G54" s="618">
        <f>IF(G47&lt;I47,I47/G47-1,G47/I47-1)</f>
        <v>1.9450800915331801E-2</v>
      </c>
      <c r="H54" s="619" t="str">
        <f>IF(OR(G54&gt;=0.3,G54&lt;=-0.3),"超过30%","")</f>
        <v/>
      </c>
      <c r="I54" s="618">
        <f>IF(I47&lt;E47,E47/I47-1,I47/E47-1)</f>
        <v>0.1454545454545455</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I68" si="19">D68+0.5</f>
        <v>1</v>
      </c>
      <c r="F68" s="535">
        <f t="shared" si="19"/>
        <v>1.5</v>
      </c>
      <c r="G68" s="535">
        <f t="shared" si="19"/>
        <v>2</v>
      </c>
      <c r="H68" s="535">
        <f t="shared" si="19"/>
        <v>2.5</v>
      </c>
      <c r="I68" s="535">
        <f t="shared" si="19"/>
        <v>3</v>
      </c>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2305</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2528</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296" t="s">
        <v>3118</v>
      </c>
      <c r="D100" s="3296" t="s">
        <v>3119</v>
      </c>
      <c r="E100" s="3296"/>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3104</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3105</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3096</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3107</v>
      </c>
      <c r="D114" s="3297" t="s">
        <v>3108</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2541</v>
      </c>
      <c r="D116" s="3297" t="s">
        <v>2542</v>
      </c>
      <c r="E116" s="3297" t="s">
        <v>2543</v>
      </c>
      <c r="F116" s="3297" t="s">
        <v>2544</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3096</v>
      </c>
      <c r="D122" s="3297" t="s">
        <v>3097</v>
      </c>
      <c r="E122" s="3297" t="s">
        <v>3098</v>
      </c>
      <c r="F122" s="3298" t="s">
        <v>3100</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2251</v>
      </c>
      <c r="H138" s="1840" t="s">
        <v>2252</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2258</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70" zoomScaleNormal="60" zoomScaleSheetLayoutView="70" workbookViewId="0">
      <selection activeCell="D49" sqref="D49"/>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3115</v>
      </c>
      <c r="E1" s="2007"/>
      <c r="F1" s="2522" t="s">
        <v>3117</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117354</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10925</v>
      </c>
      <c r="C3" s="841" t="s">
        <v>716</v>
      </c>
      <c r="D3" s="840">
        <f>SUMIF('数据-汇总表'!$C19:$C33,D1,'数据-汇总表'!$E19:$E33)</f>
        <v>107417.75</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5" t="s">
        <v>518</v>
      </c>
      <c r="AC4" s="3485" t="s">
        <v>519</v>
      </c>
    </row>
    <row r="5" spans="1:29" ht="15">
      <c r="A5" s="509"/>
      <c r="B5" s="510"/>
      <c r="C5" s="3504" t="s">
        <v>2886</v>
      </c>
      <c r="D5" s="3505"/>
      <c r="E5" s="3599" t="s">
        <v>3091</v>
      </c>
      <c r="F5" s="3525"/>
      <c r="G5" s="3600" t="s">
        <v>3114</v>
      </c>
      <c r="H5" s="3505"/>
      <c r="I5" s="3600" t="s">
        <v>3116</v>
      </c>
      <c r="J5" s="3505"/>
      <c r="K5" s="843"/>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75" thickBot="1">
      <c r="A8" s="2628"/>
      <c r="B8" s="2635" t="s">
        <v>525</v>
      </c>
      <c r="C8" s="519" t="s">
        <v>570</v>
      </c>
      <c r="D8" s="514">
        <v>100</v>
      </c>
      <c r="E8" s="845" t="s">
        <v>3071</v>
      </c>
      <c r="F8" s="516">
        <f>SUMIF(61:61,E8,62:62)-SUMIF(61:61,C8,62:62)+100</f>
        <v>100</v>
      </c>
      <c r="G8" s="519" t="s">
        <v>3071</v>
      </c>
      <c r="H8" s="514">
        <f>SUMIF(61:61,G8,62:62)-SUMIF(61:61,C8,62:62)+100</f>
        <v>100</v>
      </c>
      <c r="I8" s="845" t="s">
        <v>3071</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3101</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t="s">
        <v>3102</v>
      </c>
      <c r="D10" s="253">
        <v>100</v>
      </c>
      <c r="E10" s="851" t="s">
        <v>3102</v>
      </c>
      <c r="F10" s="852">
        <f>SUMIF(65:65,E10,66:66)-SUMIF(65:65,C10,66:66)+100</f>
        <v>100</v>
      </c>
      <c r="G10" s="850" t="s">
        <v>3102</v>
      </c>
      <c r="H10" s="253">
        <f>SUMIF(65:65,G10,66:66)-SUMIF(65:65,C10,66:66)+100</f>
        <v>100</v>
      </c>
      <c r="I10" s="850" t="s">
        <v>3102</v>
      </c>
      <c r="J10" s="253">
        <f>SUMIF(65:65,I10,66:66)-SUMIF(65:65,C10,66:66)+100</f>
        <v>100</v>
      </c>
      <c r="K10" s="853"/>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1.32</v>
      </c>
      <c r="H11" s="253">
        <f>LOOKUP(G11,68:68,69:69)-LOOKUP(C11,68:68,69:69)+100</f>
        <v>100</v>
      </c>
      <c r="I11" s="527">
        <v>1</v>
      </c>
      <c r="J11" s="253">
        <f>LOOKUP(I11,68:68,69:69)-LOOKUP(C11,68:68,69:69)+100</f>
        <v>100</v>
      </c>
      <c r="K11" s="853">
        <v>2</v>
      </c>
      <c r="L11" s="2020"/>
      <c r="M11" s="2014"/>
      <c r="N11" s="2014"/>
      <c r="O11" s="2021"/>
      <c r="P11" s="3482"/>
      <c r="Q11" s="1132" t="str">
        <f t="shared" si="6"/>
        <v>容积率</v>
      </c>
      <c r="R11" s="1500" t="s">
        <v>11</v>
      </c>
      <c r="S11" s="1501">
        <f t="shared" si="0"/>
        <v>98</v>
      </c>
      <c r="T11" s="1500" t="s">
        <v>11</v>
      </c>
      <c r="U11" s="1501">
        <f t="shared" si="1"/>
        <v>100</v>
      </c>
      <c r="V11" s="1500" t="s">
        <v>11</v>
      </c>
      <c r="W11" s="1501">
        <f t="shared" si="2"/>
        <v>100</v>
      </c>
      <c r="X11" s="1502"/>
      <c r="Y11" s="3428"/>
      <c r="Z11" s="1131" t="str">
        <f t="shared" si="7"/>
        <v>容积率</v>
      </c>
      <c r="AA11" s="1503">
        <f t="shared" si="3"/>
        <v>1.0204081632653061</v>
      </c>
      <c r="AB11" s="1503">
        <f t="shared" si="4"/>
        <v>1</v>
      </c>
      <c r="AC11" s="1503">
        <f t="shared" si="5"/>
        <v>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1132">
        <f t="shared" si="6"/>
        <v>111</v>
      </c>
      <c r="R12" s="1500" t="s">
        <v>11</v>
      </c>
      <c r="S12" s="1501">
        <f t="shared" si="0"/>
        <v>100</v>
      </c>
      <c r="T12" s="1500" t="s">
        <v>11</v>
      </c>
      <c r="U12" s="1501">
        <f t="shared" si="1"/>
        <v>100</v>
      </c>
      <c r="V12" s="1500" t="s">
        <v>11</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1132">
        <f t="shared" si="6"/>
        <v>111</v>
      </c>
      <c r="R13" s="1500" t="s">
        <v>11</v>
      </c>
      <c r="S13" s="1501">
        <f t="shared" si="0"/>
        <v>100</v>
      </c>
      <c r="T13" s="1500" t="s">
        <v>11</v>
      </c>
      <c r="U13" s="1501">
        <f t="shared" si="1"/>
        <v>100</v>
      </c>
      <c r="V13" s="1500" t="s">
        <v>11</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1132">
        <f t="shared" si="6"/>
        <v>111</v>
      </c>
      <c r="R14" s="1500" t="s">
        <v>11</v>
      </c>
      <c r="S14" s="1501">
        <f t="shared" si="0"/>
        <v>100</v>
      </c>
      <c r="T14" s="1500" t="s">
        <v>11</v>
      </c>
      <c r="U14" s="1501">
        <f t="shared" si="1"/>
        <v>100</v>
      </c>
      <c r="V14" s="1500" t="s">
        <v>11</v>
      </c>
      <c r="W14" s="1501">
        <f t="shared" si="2"/>
        <v>100</v>
      </c>
      <c r="X14" s="1502"/>
      <c r="Y14" s="3428"/>
      <c r="Z14" s="1131">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v>4</v>
      </c>
      <c r="L15" s="2022"/>
      <c r="M15" s="2014"/>
      <c r="N15" s="2014"/>
      <c r="O15" s="2021"/>
      <c r="P15" s="3516" t="s">
        <v>534</v>
      </c>
      <c r="Q15" s="1504" t="str">
        <f t="shared" si="6"/>
        <v>居住社区成熟度</v>
      </c>
      <c r="R15" s="1505" t="s">
        <v>11</v>
      </c>
      <c r="S15" s="1506">
        <f t="shared" si="0"/>
        <v>104</v>
      </c>
      <c r="T15" s="1505" t="s">
        <v>11</v>
      </c>
      <c r="U15" s="1506">
        <f t="shared" si="1"/>
        <v>104</v>
      </c>
      <c r="V15" s="1505" t="s">
        <v>11</v>
      </c>
      <c r="W15" s="1506">
        <f t="shared" si="2"/>
        <v>104</v>
      </c>
      <c r="X15" s="1499"/>
      <c r="Y15" s="3516" t="s">
        <v>534</v>
      </c>
      <c r="Z15" s="1507" t="str">
        <f t="shared" si="7"/>
        <v>居住社区成熟度</v>
      </c>
      <c r="AA15" s="1508">
        <f t="shared" si="3"/>
        <v>0.96153846153846156</v>
      </c>
      <c r="AB15" s="1508">
        <f t="shared" si="4"/>
        <v>0.96153846153846156</v>
      </c>
      <c r="AC15" s="1508">
        <f t="shared" si="5"/>
        <v>0.96153846153846156</v>
      </c>
    </row>
    <row r="16" spans="1:29" ht="15">
      <c r="A16" s="526"/>
      <c r="B16" s="858"/>
      <c r="C16" s="570" t="s">
        <v>3080</v>
      </c>
      <c r="D16" s="549"/>
      <c r="E16" s="550" t="s">
        <v>3113</v>
      </c>
      <c r="F16" s="551"/>
      <c r="G16" s="552" t="s">
        <v>3113</v>
      </c>
      <c r="H16" s="553"/>
      <c r="I16" s="550" t="s">
        <v>3113</v>
      </c>
      <c r="J16" s="549"/>
      <c r="K16" s="859"/>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2"/>
      <c r="M17" s="2014"/>
      <c r="N17" s="2014"/>
      <c r="O17" s="2021"/>
      <c r="P17" s="3517"/>
      <c r="Q17" s="1504" t="str">
        <f>B17</f>
        <v>交通便捷度</v>
      </c>
      <c r="R17" s="1505" t="s">
        <v>11</v>
      </c>
      <c r="S17" s="1506">
        <f>F17</f>
        <v>103</v>
      </c>
      <c r="T17" s="1505" t="s">
        <v>11</v>
      </c>
      <c r="U17" s="1506">
        <f>H17</f>
        <v>103</v>
      </c>
      <c r="V17" s="1505" t="s">
        <v>11</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3080</v>
      </c>
      <c r="D18" s="553"/>
      <c r="E18" s="562" t="s">
        <v>3113</v>
      </c>
      <c r="F18" s="557"/>
      <c r="G18" s="563" t="s">
        <v>3113</v>
      </c>
      <c r="H18" s="549"/>
      <c r="I18" s="562" t="s">
        <v>3113</v>
      </c>
      <c r="J18" s="549"/>
      <c r="K18" s="859"/>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100</v>
      </c>
      <c r="I19" s="564"/>
      <c r="J19" s="553">
        <f>SUMIF(80:80,I20,81:81)-SUMIF(80:80,C20,81:81)+100</f>
        <v>102</v>
      </c>
      <c r="K19" s="857">
        <v>2</v>
      </c>
      <c r="L19" s="2022"/>
      <c r="M19" s="2014"/>
      <c r="N19" s="2014"/>
      <c r="O19" s="2021"/>
      <c r="P19" s="3517"/>
      <c r="Q19" s="1504" t="str">
        <f>B19</f>
        <v>公共配套设施</v>
      </c>
      <c r="R19" s="1505" t="s">
        <v>11</v>
      </c>
      <c r="S19" s="1506">
        <f>F19</f>
        <v>102</v>
      </c>
      <c r="T19" s="1505" t="s">
        <v>11</v>
      </c>
      <c r="U19" s="1506">
        <f>H19</f>
        <v>100</v>
      </c>
      <c r="V19" s="1505" t="s">
        <v>11</v>
      </c>
      <c r="W19" s="1506">
        <f>J19</f>
        <v>102</v>
      </c>
      <c r="X19" s="1499"/>
      <c r="Y19" s="3517"/>
      <c r="Z19" s="1507" t="str">
        <f>Q19</f>
        <v>公共配套设施</v>
      </c>
      <c r="AA19" s="1508">
        <f t="shared" si="3"/>
        <v>0.98039215686274506</v>
      </c>
      <c r="AB19" s="1508">
        <f t="shared" si="4"/>
        <v>1</v>
      </c>
      <c r="AC19" s="1508">
        <f t="shared" si="5"/>
        <v>0.98039215686274506</v>
      </c>
    </row>
    <row r="20" spans="1:29" ht="15">
      <c r="A20" s="526"/>
      <c r="B20" s="589"/>
      <c r="C20" s="570" t="s">
        <v>3080</v>
      </c>
      <c r="D20" s="549"/>
      <c r="E20" s="550" t="s">
        <v>3113</v>
      </c>
      <c r="F20" s="551"/>
      <c r="G20" s="552" t="s">
        <v>3080</v>
      </c>
      <c r="H20" s="549"/>
      <c r="I20" s="550" t="s">
        <v>3113</v>
      </c>
      <c r="J20" s="549"/>
      <c r="K20" s="859"/>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2427" t="str">
        <f>B21</f>
        <v>基础设施水平</v>
      </c>
      <c r="R21" s="1505" t="s">
        <v>11</v>
      </c>
      <c r="S21" s="1506">
        <f>F21</f>
        <v>100</v>
      </c>
      <c r="T21" s="1505" t="s">
        <v>11</v>
      </c>
      <c r="U21" s="1506">
        <f>H21</f>
        <v>100</v>
      </c>
      <c r="V21" s="1505" t="s">
        <v>11</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3103</v>
      </c>
      <c r="D22" s="549"/>
      <c r="E22" s="570" t="s">
        <v>3103</v>
      </c>
      <c r="F22" s="551"/>
      <c r="G22" s="570" t="s">
        <v>3103</v>
      </c>
      <c r="H22" s="549"/>
      <c r="I22" s="570" t="s">
        <v>3103</v>
      </c>
      <c r="J22" s="549"/>
      <c r="K22" s="2441"/>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1504" t="str">
        <f>B23</f>
        <v>自然及人文环境</v>
      </c>
      <c r="R23" s="1505" t="s">
        <v>11</v>
      </c>
      <c r="S23" s="1506">
        <f>F23</f>
        <v>100</v>
      </c>
      <c r="T23" s="1505" t="s">
        <v>11</v>
      </c>
      <c r="U23" s="1506">
        <f>H23</f>
        <v>100</v>
      </c>
      <c r="V23" s="1505" t="s">
        <v>11</v>
      </c>
      <c r="W23" s="1506">
        <f>J23</f>
        <v>100</v>
      </c>
      <c r="X23" s="1499"/>
      <c r="Y23" s="3517"/>
      <c r="Z23" s="1507" t="str">
        <f>Q23</f>
        <v>自然及人文环境</v>
      </c>
      <c r="AA23" s="1508">
        <f t="shared" si="3"/>
        <v>1</v>
      </c>
      <c r="AB23" s="1508">
        <f t="shared" si="4"/>
        <v>1</v>
      </c>
      <c r="AC23" s="1508">
        <f t="shared" si="5"/>
        <v>1</v>
      </c>
    </row>
    <row r="24" spans="1:29" ht="15.75" thickBot="1">
      <c r="A24" s="526"/>
      <c r="B24" s="589"/>
      <c r="C24" s="570" t="s">
        <v>3113</v>
      </c>
      <c r="D24" s="549"/>
      <c r="E24" s="550" t="s">
        <v>3113</v>
      </c>
      <c r="F24" s="551"/>
      <c r="G24" s="552" t="s">
        <v>3113</v>
      </c>
      <c r="H24" s="549"/>
      <c r="I24" s="550" t="s">
        <v>3113</v>
      </c>
      <c r="J24" s="549"/>
      <c r="K24" s="859"/>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1504" t="str">
        <f t="shared" ref="Q25:Q46" si="11">B25</f>
        <v>楼层-1</v>
      </c>
      <c r="R25" s="1505" t="s">
        <v>11</v>
      </c>
      <c r="S25" s="1506">
        <f>F25</f>
        <v>100</v>
      </c>
      <c r="T25" s="1505" t="s">
        <v>11</v>
      </c>
      <c r="U25" s="1506">
        <f>H25</f>
        <v>100</v>
      </c>
      <c r="V25" s="1505" t="s">
        <v>11</v>
      </c>
      <c r="W25" s="1506">
        <f>J25</f>
        <v>100</v>
      </c>
      <c r="X25" s="1499"/>
      <c r="Y25" s="3517"/>
      <c r="Z25" s="1507" t="str">
        <f>Q25</f>
        <v>楼层-1</v>
      </c>
      <c r="AA25" s="1508">
        <f t="shared" si="3"/>
        <v>1</v>
      </c>
      <c r="AB25" s="1508">
        <f t="shared" si="4"/>
        <v>1</v>
      </c>
      <c r="AC25" s="1508">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1504" t="str">
        <f t="shared" si="11"/>
        <v>朝向</v>
      </c>
      <c r="R26" s="1505" t="s">
        <v>11</v>
      </c>
      <c r="S26" s="1506">
        <f>F26</f>
        <v>100</v>
      </c>
      <c r="T26" s="1505" t="s">
        <v>11</v>
      </c>
      <c r="U26" s="1506">
        <f>H26</f>
        <v>100</v>
      </c>
      <c r="V26" s="1505" t="s">
        <v>11</v>
      </c>
      <c r="W26" s="1506">
        <f>J26</f>
        <v>100</v>
      </c>
      <c r="X26" s="1499"/>
      <c r="Y26" s="3517"/>
      <c r="Z26" s="1507" t="str">
        <f>Q26</f>
        <v>朝向</v>
      </c>
      <c r="AA26" s="1508">
        <f t="shared" si="3"/>
        <v>1</v>
      </c>
      <c r="AB26" s="1508">
        <f t="shared" si="4"/>
        <v>1</v>
      </c>
      <c r="AC26" s="1508">
        <f t="shared" si="5"/>
        <v>1</v>
      </c>
    </row>
    <row r="27" spans="1:29" s="1201"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1132" t="str">
        <f t="shared" si="11"/>
        <v>道路级别</v>
      </c>
      <c r="R27" s="1500" t="s">
        <v>11</v>
      </c>
      <c r="S27" s="1501">
        <f>F27</f>
        <v>100</v>
      </c>
      <c r="T27" s="1500" t="s">
        <v>11</v>
      </c>
      <c r="U27" s="1501">
        <f>H27</f>
        <v>100</v>
      </c>
      <c r="V27" s="1500" t="s">
        <v>11</v>
      </c>
      <c r="W27" s="1501">
        <f>J27</f>
        <v>100</v>
      </c>
      <c r="X27" s="1502"/>
      <c r="Y27" s="3517"/>
      <c r="Z27" s="1131" t="str">
        <f>Q27</f>
        <v>道路级别</v>
      </c>
      <c r="AA27" s="1508">
        <f>D27/F27</f>
        <v>1</v>
      </c>
      <c r="AB27" s="1508">
        <f>D27/H27</f>
        <v>1</v>
      </c>
      <c r="AC27" s="1508">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1504">
        <f t="shared" si="11"/>
        <v>111</v>
      </c>
      <c r="R28" s="1505" t="s">
        <v>11</v>
      </c>
      <c r="S28" s="1506">
        <f t="shared" ref="S28:S46" si="12">F28</f>
        <v>100</v>
      </c>
      <c r="T28" s="1505" t="s">
        <v>11</v>
      </c>
      <c r="U28" s="1506">
        <f t="shared" ref="U28:U46" si="13">H28</f>
        <v>100</v>
      </c>
      <c r="V28" s="1505" t="s">
        <v>11</v>
      </c>
      <c r="W28" s="1506">
        <f t="shared" ref="W28:W46" si="14">J28</f>
        <v>100</v>
      </c>
      <c r="X28" s="1499"/>
      <c r="Y28" s="3517"/>
      <c r="Z28" s="1507">
        <f t="shared" ref="Z28:Z46" si="15">Q28</f>
        <v>111</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1504">
        <f t="shared" si="11"/>
        <v>111</v>
      </c>
      <c r="R29" s="1505" t="s">
        <v>11</v>
      </c>
      <c r="S29" s="1506">
        <f t="shared" si="12"/>
        <v>100</v>
      </c>
      <c r="T29" s="1505" t="s">
        <v>11</v>
      </c>
      <c r="U29" s="1506">
        <f t="shared" si="13"/>
        <v>100</v>
      </c>
      <c r="V29" s="1505" t="s">
        <v>11</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1504">
        <f t="shared" si="11"/>
        <v>111</v>
      </c>
      <c r="R30" s="1505" t="s">
        <v>11</v>
      </c>
      <c r="S30" s="1506">
        <f t="shared" si="12"/>
        <v>100</v>
      </c>
      <c r="T30" s="1505" t="s">
        <v>11</v>
      </c>
      <c r="U30" s="1506">
        <f t="shared" si="13"/>
        <v>100</v>
      </c>
      <c r="V30" s="1505" t="s">
        <v>11</v>
      </c>
      <c r="W30" s="1506">
        <f t="shared" si="14"/>
        <v>100</v>
      </c>
      <c r="X30" s="1499"/>
      <c r="Y30" s="3517"/>
      <c r="Z30" s="1507">
        <f t="shared" si="15"/>
        <v>111</v>
      </c>
      <c r="AA30" s="1508">
        <f t="shared" si="3"/>
        <v>1</v>
      </c>
      <c r="AB30" s="1508">
        <f t="shared" si="4"/>
        <v>1</v>
      </c>
      <c r="AC30" s="1508">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1504">
        <f t="shared" si="11"/>
        <v>111</v>
      </c>
      <c r="R31" s="1505" t="s">
        <v>11</v>
      </c>
      <c r="S31" s="1506">
        <f t="shared" si="12"/>
        <v>100</v>
      </c>
      <c r="T31" s="1505" t="s">
        <v>11</v>
      </c>
      <c r="U31" s="1506">
        <f t="shared" si="13"/>
        <v>100</v>
      </c>
      <c r="V31" s="1505" t="s">
        <v>11</v>
      </c>
      <c r="W31" s="1506">
        <f t="shared" si="14"/>
        <v>100</v>
      </c>
      <c r="X31" s="1499"/>
      <c r="Y31" s="3517"/>
      <c r="Z31" s="1507">
        <f t="shared" si="15"/>
        <v>111</v>
      </c>
      <c r="AA31" s="1508">
        <f t="shared" si="3"/>
        <v>1</v>
      </c>
      <c r="AB31" s="1508">
        <f t="shared" si="4"/>
        <v>1</v>
      </c>
      <c r="AC31" s="1508">
        <f t="shared" si="5"/>
        <v>1</v>
      </c>
    </row>
    <row r="32" spans="1:29" ht="15">
      <c r="A32" s="2622" t="s">
        <v>2735</v>
      </c>
      <c r="B32" s="170" t="s">
        <v>719</v>
      </c>
      <c r="C32" s="867" t="s">
        <v>3115</v>
      </c>
      <c r="D32" s="591">
        <v>100</v>
      </c>
      <c r="E32" s="868" t="s">
        <v>3092</v>
      </c>
      <c r="F32" s="569">
        <f>SUMIF(100:100,E32,101:101)-SUMIF(100:100,C32,101:101)+100</f>
        <v>107</v>
      </c>
      <c r="G32" s="867" t="s">
        <v>3115</v>
      </c>
      <c r="H32" s="591">
        <f>SUMIF(100:100,G32,101:101)-SUMIF(100:100,C32,101:101)+100</f>
        <v>100</v>
      </c>
      <c r="I32" s="868" t="s">
        <v>3168</v>
      </c>
      <c r="J32" s="534">
        <f>SUMIF(100:100,I32,101:101)-SUMIF(100:100,C32,101:101)+100</f>
        <v>114</v>
      </c>
      <c r="K32" s="853">
        <v>7</v>
      </c>
      <c r="L32" s="2022"/>
      <c r="M32" s="2014"/>
      <c r="N32" s="2014"/>
      <c r="O32" s="2021"/>
      <c r="P32" s="3518" t="s">
        <v>544</v>
      </c>
      <c r="Q32" s="1504" t="str">
        <f t="shared" si="11"/>
        <v>建筑类型</v>
      </c>
      <c r="R32" s="1505" t="s">
        <v>11</v>
      </c>
      <c r="S32" s="1506">
        <f t="shared" si="12"/>
        <v>107</v>
      </c>
      <c r="T32" s="1505" t="s">
        <v>11</v>
      </c>
      <c r="U32" s="1506">
        <f t="shared" si="13"/>
        <v>100</v>
      </c>
      <c r="V32" s="1505" t="s">
        <v>11</v>
      </c>
      <c r="W32" s="1506">
        <f t="shared" si="14"/>
        <v>114</v>
      </c>
      <c r="X32" s="1499"/>
      <c r="Y32" s="3519" t="s">
        <v>544</v>
      </c>
      <c r="Z32" s="1507" t="str">
        <f t="shared" si="15"/>
        <v>建筑类型</v>
      </c>
      <c r="AA32" s="1508">
        <f t="shared" si="3"/>
        <v>0.93457943925233644</v>
      </c>
      <c r="AB32" s="1508">
        <f t="shared" si="4"/>
        <v>1</v>
      </c>
      <c r="AC32" s="1508">
        <f t="shared" si="5"/>
        <v>0.8771929824561403</v>
      </c>
    </row>
    <row r="33" spans="1:29" s="1291" customFormat="1" ht="15">
      <c r="A33" s="597"/>
      <c r="B33" s="521" t="s">
        <v>720</v>
      </c>
      <c r="C33" s="869">
        <f>'数据-基础表'!B3</f>
        <v>362676.11</v>
      </c>
      <c r="D33" s="253">
        <v>100</v>
      </c>
      <c r="E33" s="528">
        <v>191390.22</v>
      </c>
      <c r="F33" s="852">
        <f>LOOKUP(E33,103:103,104:104)-LOOKUP(C33,103:103,104:104)+100</f>
        <v>98</v>
      </c>
      <c r="G33" s="527">
        <v>219999.12</v>
      </c>
      <c r="H33" s="253">
        <f>LOOKUP(G33,103:103,104:104)-LOOKUP(C33,103:103,104:104)+100</f>
        <v>99</v>
      </c>
      <c r="I33" s="528">
        <v>12000000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99</v>
      </c>
      <c r="V33" s="1509" t="s">
        <v>11</v>
      </c>
      <c r="W33" s="1510">
        <f t="shared" si="14"/>
        <v>103</v>
      </c>
      <c r="X33" s="1511"/>
      <c r="Y33" s="3519"/>
      <c r="Z33" s="1512" t="str">
        <f t="shared" si="15"/>
        <v>项目建筑规模</v>
      </c>
      <c r="AA33" s="1508">
        <f t="shared" si="3"/>
        <v>1.0204081632653061</v>
      </c>
      <c r="AB33" s="1508">
        <f t="shared" si="4"/>
        <v>1.0101010101010102</v>
      </c>
      <c r="AC33" s="1508">
        <f t="shared" si="5"/>
        <v>0.970873786407767</v>
      </c>
    </row>
    <row r="34" spans="1:29" ht="15">
      <c r="A34" s="588"/>
      <c r="B34" s="521" t="s">
        <v>721</v>
      </c>
      <c r="C34" s="870" t="s">
        <v>3079</v>
      </c>
      <c r="D34" s="534">
        <v>100</v>
      </c>
      <c r="E34" s="870" t="s">
        <v>3079</v>
      </c>
      <c r="F34" s="569">
        <f>SUMIF(105:105,E34,106:106)-SUMIF(105:105,C34,106:106)+100</f>
        <v>100</v>
      </c>
      <c r="G34" s="870" t="s">
        <v>3079</v>
      </c>
      <c r="H34" s="534">
        <f>SUMIF(105:105,G34,106:106)-SUMIF(105:105,C34,106:106)+100</f>
        <v>100</v>
      </c>
      <c r="I34" s="870" t="s">
        <v>3079</v>
      </c>
      <c r="J34" s="534">
        <f>SUMIF(105:105,I34,106:106)-SUMIF(105:105,C34,106:106)+100</f>
        <v>100</v>
      </c>
      <c r="K34" s="853">
        <v>1</v>
      </c>
      <c r="L34" s="2022"/>
      <c r="M34" s="2014"/>
      <c r="N34" s="2014"/>
      <c r="O34" s="2021"/>
      <c r="P34" s="3519"/>
      <c r="Q34" s="1504" t="str">
        <f t="shared" si="11"/>
        <v>建筑结构</v>
      </c>
      <c r="R34" s="1505" t="s">
        <v>11</v>
      </c>
      <c r="S34" s="1506">
        <f t="shared" si="12"/>
        <v>100</v>
      </c>
      <c r="T34" s="1505" t="s">
        <v>11</v>
      </c>
      <c r="U34" s="1506">
        <f t="shared" si="13"/>
        <v>100</v>
      </c>
      <c r="V34" s="1505" t="s">
        <v>11</v>
      </c>
      <c r="W34" s="1506">
        <f t="shared" si="14"/>
        <v>100</v>
      </c>
      <c r="X34" s="1499"/>
      <c r="Y34" s="3519"/>
      <c r="Z34" s="1507" t="str">
        <f t="shared" si="15"/>
        <v>建筑结构</v>
      </c>
      <c r="AA34" s="1508">
        <f t="shared" si="3"/>
        <v>1</v>
      </c>
      <c r="AB34" s="1508">
        <f t="shared" si="4"/>
        <v>1</v>
      </c>
      <c r="AC34" s="1508">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1504" t="str">
        <f t="shared" si="11"/>
        <v>建筑品质</v>
      </c>
      <c r="R35" s="1505" t="s">
        <v>11</v>
      </c>
      <c r="S35" s="1506">
        <f t="shared" si="12"/>
        <v>100</v>
      </c>
      <c r="T35" s="1505" t="s">
        <v>11</v>
      </c>
      <c r="U35" s="1506">
        <f t="shared" si="13"/>
        <v>100</v>
      </c>
      <c r="V35" s="1505" t="s">
        <v>11</v>
      </c>
      <c r="W35" s="1506">
        <f t="shared" si="14"/>
        <v>100</v>
      </c>
      <c r="X35" s="1499"/>
      <c r="Y35" s="3519"/>
      <c r="Z35" s="1507" t="str">
        <f t="shared" si="15"/>
        <v>建筑品质</v>
      </c>
      <c r="AA35" s="1508">
        <f t="shared" si="3"/>
        <v>1</v>
      </c>
      <c r="AB35" s="1508">
        <f t="shared" si="4"/>
        <v>1</v>
      </c>
      <c r="AC35" s="1508">
        <f t="shared" si="5"/>
        <v>1</v>
      </c>
    </row>
    <row r="36" spans="1:29" ht="15">
      <c r="A36" s="588"/>
      <c r="B36" s="521" t="s">
        <v>723</v>
      </c>
      <c r="C36" s="593" t="s">
        <v>3095</v>
      </c>
      <c r="D36" s="534">
        <v>100</v>
      </c>
      <c r="E36" s="593" t="s">
        <v>3095</v>
      </c>
      <c r="F36" s="569">
        <f>SUMIF(109:109,E36,110:110)-SUMIF(109:109,C36,110:110)+100</f>
        <v>100</v>
      </c>
      <c r="G36" s="593" t="s">
        <v>3095</v>
      </c>
      <c r="H36" s="534">
        <f>SUMIF(109:109,G36,110:110)-SUMIF(109:109,C36,110:110)+100</f>
        <v>100</v>
      </c>
      <c r="I36" s="593" t="s">
        <v>3095</v>
      </c>
      <c r="J36" s="534">
        <f>SUMIF(109:109,I36,110:110)-SUMIF(109:109,C36,110:110)+100</f>
        <v>100</v>
      </c>
      <c r="K36" s="853">
        <v>1</v>
      </c>
      <c r="L36" s="2022"/>
      <c r="M36" s="2014"/>
      <c r="N36" s="2014"/>
      <c r="O36" s="2021"/>
      <c r="P36" s="3519"/>
      <c r="Q36" s="1504" t="str">
        <f t="shared" si="11"/>
        <v>公共部分装修</v>
      </c>
      <c r="R36" s="1505" t="s">
        <v>11</v>
      </c>
      <c r="S36" s="1506">
        <f t="shared" si="12"/>
        <v>100</v>
      </c>
      <c r="T36" s="1505" t="s">
        <v>11</v>
      </c>
      <c r="U36" s="1506">
        <f t="shared" si="13"/>
        <v>100</v>
      </c>
      <c r="V36" s="1505" t="s">
        <v>11</v>
      </c>
      <c r="W36" s="1506">
        <f t="shared" si="14"/>
        <v>100</v>
      </c>
      <c r="X36" s="1499"/>
      <c r="Y36" s="3519"/>
      <c r="Z36" s="1507" t="str">
        <f t="shared" si="15"/>
        <v>公共部分装修</v>
      </c>
      <c r="AA36" s="1508">
        <f t="shared" si="3"/>
        <v>1</v>
      </c>
      <c r="AB36" s="1508">
        <f t="shared" si="4"/>
        <v>1</v>
      </c>
      <c r="AC36" s="1508">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1132" t="str">
        <f t="shared" si="11"/>
        <v>成新度</v>
      </c>
      <c r="R37" s="1500" t="s">
        <v>11</v>
      </c>
      <c r="S37" s="1501">
        <f t="shared" si="12"/>
        <v>100</v>
      </c>
      <c r="T37" s="1500" t="s">
        <v>11</v>
      </c>
      <c r="U37" s="1501">
        <f t="shared" si="13"/>
        <v>100</v>
      </c>
      <c r="V37" s="1500" t="s">
        <v>11</v>
      </c>
      <c r="W37" s="1501">
        <f t="shared" si="14"/>
        <v>100</v>
      </c>
      <c r="X37" s="1502"/>
      <c r="Y37" s="3519"/>
      <c r="Z37" s="1131" t="str">
        <f t="shared" si="15"/>
        <v>成新度</v>
      </c>
      <c r="AA37" s="1503">
        <f t="shared" si="3"/>
        <v>1</v>
      </c>
      <c r="AB37" s="1503">
        <f t="shared" si="4"/>
        <v>1</v>
      </c>
      <c r="AC37" s="1503">
        <f t="shared" si="5"/>
        <v>1</v>
      </c>
    </row>
    <row r="38" spans="1:29" ht="15">
      <c r="A38" s="588"/>
      <c r="B38" s="521" t="s">
        <v>725</v>
      </c>
      <c r="C38" s="593" t="s">
        <v>3106</v>
      </c>
      <c r="D38" s="534">
        <v>100</v>
      </c>
      <c r="E38" s="593" t="s">
        <v>3106</v>
      </c>
      <c r="F38" s="569">
        <f>SUMIF(114:114,E38,115:115)-SUMIF(114:114,C38,115:115)+100</f>
        <v>100</v>
      </c>
      <c r="G38" s="593" t="s">
        <v>3106</v>
      </c>
      <c r="H38" s="534">
        <f>SUMIF(114:114,G38,115:115)-SUMIF(114:114,C38,115:115)+100</f>
        <v>100</v>
      </c>
      <c r="I38" s="593" t="s">
        <v>3106</v>
      </c>
      <c r="J38" s="534">
        <f>SUMIF(114:114,I38,115:115)-SUMIF(114:114,C38,115:115)+100</f>
        <v>100</v>
      </c>
      <c r="K38" s="853">
        <v>1</v>
      </c>
      <c r="L38" s="2022"/>
      <c r="M38" s="2014"/>
      <c r="N38" s="2014"/>
      <c r="O38" s="2021"/>
      <c r="P38" s="3519" t="s">
        <v>544</v>
      </c>
      <c r="Q38" s="1504" t="str">
        <f t="shared" si="11"/>
        <v>物业管理</v>
      </c>
      <c r="R38" s="1505" t="s">
        <v>11</v>
      </c>
      <c r="S38" s="1506">
        <f t="shared" si="12"/>
        <v>100</v>
      </c>
      <c r="T38" s="1505" t="s">
        <v>11</v>
      </c>
      <c r="U38" s="1506">
        <f t="shared" si="13"/>
        <v>100</v>
      </c>
      <c r="V38" s="1505" t="s">
        <v>11</v>
      </c>
      <c r="W38" s="1506">
        <f t="shared" si="14"/>
        <v>100</v>
      </c>
      <c r="X38" s="1499"/>
      <c r="Y38" s="3519" t="s">
        <v>544</v>
      </c>
      <c r="Z38" s="1507" t="str">
        <f t="shared" si="15"/>
        <v>物业管理</v>
      </c>
      <c r="AA38" s="1508">
        <f t="shared" si="3"/>
        <v>1</v>
      </c>
      <c r="AB38" s="1508">
        <f t="shared" si="4"/>
        <v>1</v>
      </c>
      <c r="AC38" s="1508">
        <f t="shared" si="5"/>
        <v>1</v>
      </c>
    </row>
    <row r="39" spans="1:29" ht="15">
      <c r="A39" s="588"/>
      <c r="B39" s="1807" t="s">
        <v>2545</v>
      </c>
      <c r="C39" s="593" t="s">
        <v>3103</v>
      </c>
      <c r="D39" s="534">
        <v>100</v>
      </c>
      <c r="E39" s="593" t="s">
        <v>3103</v>
      </c>
      <c r="F39" s="569">
        <f>SUMIF(116:116,E39,117:117)-SUMIF(116:116,C39,117:117)+100</f>
        <v>100</v>
      </c>
      <c r="G39" s="593" t="s">
        <v>3103</v>
      </c>
      <c r="H39" s="534">
        <f>SUMIF(116:116,G39,117:117)-SUMIF(116:116,C39,117:117)+100</f>
        <v>100</v>
      </c>
      <c r="I39" s="593" t="s">
        <v>3103</v>
      </c>
      <c r="J39" s="534">
        <f>SUMIF(116:116,I39,117:117)-SUMIF(116:116,C39,117:117)+100</f>
        <v>100</v>
      </c>
      <c r="K39" s="853">
        <v>1</v>
      </c>
      <c r="L39" s="2022"/>
      <c r="M39" s="2014"/>
      <c r="N39" s="2014"/>
      <c r="O39" s="2021"/>
      <c r="P39" s="3519"/>
      <c r="Q39" s="1504" t="str">
        <f t="shared" si="11"/>
        <v>市政基础设施</v>
      </c>
      <c r="R39" s="1505" t="s">
        <v>11</v>
      </c>
      <c r="S39" s="1506">
        <f t="shared" si="12"/>
        <v>100</v>
      </c>
      <c r="T39" s="1505" t="s">
        <v>11</v>
      </c>
      <c r="U39" s="1506">
        <f t="shared" si="13"/>
        <v>100</v>
      </c>
      <c r="V39" s="1505" t="s">
        <v>11</v>
      </c>
      <c r="W39" s="1506">
        <f t="shared" si="14"/>
        <v>100</v>
      </c>
      <c r="X39" s="1499"/>
      <c r="Y39" s="3519"/>
      <c r="Z39" s="1507" t="str">
        <f t="shared" si="15"/>
        <v>市政基础设施</v>
      </c>
      <c r="AA39" s="1508">
        <f t="shared" si="3"/>
        <v>1</v>
      </c>
      <c r="AB39" s="1508">
        <f t="shared" si="4"/>
        <v>1</v>
      </c>
      <c r="AC39" s="1508">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1504" t="str">
        <f t="shared" si="11"/>
        <v>房型</v>
      </c>
      <c r="R40" s="1505" t="s">
        <v>11</v>
      </c>
      <c r="S40" s="1506">
        <f t="shared" si="12"/>
        <v>100</v>
      </c>
      <c r="T40" s="1505" t="s">
        <v>11</v>
      </c>
      <c r="U40" s="1506">
        <f t="shared" si="13"/>
        <v>100</v>
      </c>
      <c r="V40" s="1505" t="s">
        <v>11</v>
      </c>
      <c r="W40" s="1506">
        <f t="shared" si="14"/>
        <v>100</v>
      </c>
      <c r="X40" s="1499"/>
      <c r="Y40" s="3519"/>
      <c r="Z40" s="1507" t="str">
        <f t="shared" si="15"/>
        <v>房型</v>
      </c>
      <c r="AA40" s="1508">
        <f t="shared" si="3"/>
        <v>1</v>
      </c>
      <c r="AB40" s="1508">
        <f t="shared" si="4"/>
        <v>1</v>
      </c>
      <c r="AC40" s="1508">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1508">
        <f t="shared" si="3"/>
        <v>1</v>
      </c>
      <c r="AB41" s="1508">
        <f t="shared" si="4"/>
        <v>1</v>
      </c>
      <c r="AC41" s="1508">
        <f t="shared" si="5"/>
        <v>1</v>
      </c>
    </row>
    <row r="42" spans="1:29" ht="15">
      <c r="A42" s="588"/>
      <c r="B42" s="521" t="s">
        <v>728</v>
      </c>
      <c r="C42" s="593" t="s">
        <v>3099</v>
      </c>
      <c r="D42" s="534">
        <v>100</v>
      </c>
      <c r="E42" s="863" t="s">
        <v>3099</v>
      </c>
      <c r="F42" s="569">
        <f>SUMIF(122:122,E42,123:123)-SUMIF(122:122,C42,123:123)+100</f>
        <v>100</v>
      </c>
      <c r="G42" s="863" t="s">
        <v>3099</v>
      </c>
      <c r="H42" s="534">
        <f>SUMIF(122:122,G42,123:123)-SUMIF(122:122,C42,123:123)+100</f>
        <v>100</v>
      </c>
      <c r="I42" s="863" t="s">
        <v>3099</v>
      </c>
      <c r="J42" s="534">
        <f>SUMIF(122:122,I42,123:123)-SUMIF(122:122,C42,123:123)+100</f>
        <v>100</v>
      </c>
      <c r="K42" s="853">
        <v>1</v>
      </c>
      <c r="L42" s="2022"/>
      <c r="M42" s="2014"/>
      <c r="N42" s="2014"/>
      <c r="O42" s="2021"/>
      <c r="P42" s="3519"/>
      <c r="Q42" s="1504" t="str">
        <f t="shared" si="11"/>
        <v>内部装修</v>
      </c>
      <c r="R42" s="1505" t="s">
        <v>11</v>
      </c>
      <c r="S42" s="1506">
        <f t="shared" si="12"/>
        <v>100</v>
      </c>
      <c r="T42" s="1505" t="s">
        <v>11</v>
      </c>
      <c r="U42" s="1506">
        <f t="shared" si="13"/>
        <v>100</v>
      </c>
      <c r="V42" s="1505" t="s">
        <v>11</v>
      </c>
      <c r="W42" s="1506">
        <f t="shared" si="14"/>
        <v>100</v>
      </c>
      <c r="X42" s="1499"/>
      <c r="Y42" s="3519"/>
      <c r="Z42" s="1507" t="str">
        <f t="shared" si="15"/>
        <v>内部装修</v>
      </c>
      <c r="AA42" s="1508">
        <f t="shared" si="3"/>
        <v>1</v>
      </c>
      <c r="AB42" s="1508">
        <f t="shared" si="4"/>
        <v>1</v>
      </c>
      <c r="AC42" s="1508">
        <f t="shared" si="5"/>
        <v>1</v>
      </c>
    </row>
    <row r="43" spans="1:29" ht="27">
      <c r="A43" s="588"/>
      <c r="B43" s="521" t="s">
        <v>729</v>
      </c>
      <c r="C43" s="593" t="s">
        <v>3081</v>
      </c>
      <c r="D43" s="534">
        <v>100</v>
      </c>
      <c r="E43" s="863" t="s">
        <v>3081</v>
      </c>
      <c r="F43" s="569">
        <f>SUMIF(124:124,E43,125:125)-SUMIF(124:124,C43,125:125)+100</f>
        <v>100</v>
      </c>
      <c r="G43" s="863" t="s">
        <v>3081</v>
      </c>
      <c r="H43" s="534">
        <f>SUMIF(124:124,G43,125:125)-SUMIF(124:124,C43,125:125)+100</f>
        <v>100</v>
      </c>
      <c r="I43" s="863" t="s">
        <v>3081</v>
      </c>
      <c r="J43" s="534">
        <f>SUMIF(124:124,I43,125:125)-SUMIF(124:124,C43,125:125)+100</f>
        <v>100</v>
      </c>
      <c r="K43" s="853">
        <v>1</v>
      </c>
      <c r="L43" s="2022"/>
      <c r="M43" s="2014"/>
      <c r="N43" s="2014"/>
      <c r="O43" s="2021"/>
      <c r="P43" s="3519"/>
      <c r="Q43" s="1504" t="str">
        <f t="shared" si="11"/>
        <v>内部装修维护情况</v>
      </c>
      <c r="R43" s="1505" t="s">
        <v>11</v>
      </c>
      <c r="S43" s="1506">
        <f t="shared" si="12"/>
        <v>100</v>
      </c>
      <c r="T43" s="1505" t="s">
        <v>11</v>
      </c>
      <c r="U43" s="1506">
        <f t="shared" si="13"/>
        <v>100</v>
      </c>
      <c r="V43" s="1505" t="s">
        <v>11</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1132">
        <f t="shared" si="11"/>
        <v>111</v>
      </c>
      <c r="R44" s="1500" t="s">
        <v>11</v>
      </c>
      <c r="S44" s="1501">
        <f t="shared" si="12"/>
        <v>100</v>
      </c>
      <c r="T44" s="1500" t="s">
        <v>11</v>
      </c>
      <c r="U44" s="1501">
        <f t="shared" si="13"/>
        <v>100</v>
      </c>
      <c r="V44" s="1500" t="s">
        <v>11</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1504">
        <f t="shared" si="11"/>
        <v>111</v>
      </c>
      <c r="R45" s="1505" t="s">
        <v>11</v>
      </c>
      <c r="S45" s="1506">
        <f t="shared" si="12"/>
        <v>100</v>
      </c>
      <c r="T45" s="1505" t="s">
        <v>11</v>
      </c>
      <c r="U45" s="1506">
        <f t="shared" si="13"/>
        <v>100</v>
      </c>
      <c r="V45" s="1505" t="s">
        <v>11</v>
      </c>
      <c r="W45" s="1506">
        <f t="shared" si="14"/>
        <v>100</v>
      </c>
      <c r="X45" s="1499"/>
      <c r="Y45" s="3519"/>
      <c r="Z45" s="1507">
        <f t="shared" si="15"/>
        <v>111</v>
      </c>
      <c r="AA45" s="1508">
        <f t="shared" si="3"/>
        <v>1</v>
      </c>
      <c r="AB45" s="1508">
        <f t="shared" si="4"/>
        <v>1</v>
      </c>
      <c r="AC45" s="1508">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1504">
        <f t="shared" si="11"/>
        <v>111</v>
      </c>
      <c r="R46" s="1505" t="s">
        <v>10</v>
      </c>
      <c r="S46" s="1506">
        <f t="shared" si="12"/>
        <v>100</v>
      </c>
      <c r="T46" s="1505" t="s">
        <v>10</v>
      </c>
      <c r="U46" s="1506">
        <f t="shared" si="13"/>
        <v>100</v>
      </c>
      <c r="V46" s="1505" t="s">
        <v>10</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9</v>
      </c>
      <c r="D47" s="2469"/>
      <c r="E47" s="2470">
        <f>ROUND(13000*E51,0)</f>
        <v>12220</v>
      </c>
      <c r="F47" s="2471"/>
      <c r="G47" s="2470">
        <f>ROUND(12300*E51,0)</f>
        <v>11562</v>
      </c>
      <c r="H47" s="2473"/>
      <c r="I47" s="2470">
        <f>ROUND(15000*E51,0)</f>
        <v>14100</v>
      </c>
      <c r="J47" s="2473"/>
      <c r="K47" s="1534"/>
      <c r="L47" s="2024"/>
      <c r="M47" s="2025"/>
      <c r="N47" s="2014"/>
      <c r="O47" s="2025"/>
      <c r="P47" s="3482" t="str">
        <f>A47</f>
        <v>成交单价（元/平方米）</v>
      </c>
      <c r="Q47" s="3482"/>
      <c r="R47" s="3602">
        <f>E47</f>
        <v>12220</v>
      </c>
      <c r="S47" s="3602"/>
      <c r="T47" s="3602">
        <f>G47</f>
        <v>11562</v>
      </c>
      <c r="U47" s="3602"/>
      <c r="V47" s="3602">
        <f>I47</f>
        <v>14100</v>
      </c>
      <c r="W47" s="3602"/>
      <c r="X47" s="1494"/>
      <c r="Y47" s="1513"/>
      <c r="Z47" s="1494"/>
      <c r="AA47" s="1494"/>
      <c r="AB47" s="1494"/>
      <c r="AC47" s="1494"/>
    </row>
    <row r="48" spans="1:29" ht="15.75" thickBot="1">
      <c r="A48" s="609" t="s">
        <v>2740</v>
      </c>
      <c r="B48" s="876"/>
      <c r="C48" s="2474">
        <f>R49</f>
        <v>10925</v>
      </c>
      <c r="D48" s="3010" t="s">
        <v>2960</v>
      </c>
      <c r="E48" s="2475">
        <f>R48</f>
        <v>10883</v>
      </c>
      <c r="F48" s="3011"/>
      <c r="G48" s="2474">
        <f>T48</f>
        <v>10903</v>
      </c>
      <c r="H48" s="3011"/>
      <c r="I48" s="2475">
        <f>V48</f>
        <v>10990</v>
      </c>
      <c r="J48" s="3011"/>
      <c r="K48" s="3019">
        <f>F48+H48+J48</f>
        <v>0</v>
      </c>
      <c r="L48" s="2024"/>
      <c r="M48" s="2025"/>
      <c r="N48" s="2025"/>
      <c r="O48" s="2025"/>
      <c r="P48" s="3482" t="str">
        <f>A48</f>
        <v>比较价格（元/平方米）</v>
      </c>
      <c r="Q48" s="3482"/>
      <c r="R48" s="3602">
        <f>IF(F1="售价",ROUND(PRODUCT(R47,AA7:AA46),0),ROUND(PRODUCT(R47,AA7:AA46),1))</f>
        <v>10883</v>
      </c>
      <c r="S48" s="3602"/>
      <c r="T48" s="3602">
        <f>IF(F1="售价",ROUND(PRODUCT(T47,AB7:AB46),0),ROUND(PRODUCT(T47,AB7:AB46),1))</f>
        <v>10903</v>
      </c>
      <c r="U48" s="3602"/>
      <c r="V48" s="3602">
        <f>IF(F1="售价",ROUND(PRODUCT(V47,AC7:AC46),0),ROUND(PRODUCT(V47,AC7:AC46),1))</f>
        <v>10990</v>
      </c>
      <c r="W48" s="3602"/>
      <c r="X48" s="1494"/>
      <c r="Y48" s="1494"/>
      <c r="Z48" s="1494"/>
      <c r="AA48" s="1494"/>
      <c r="AB48" s="1494"/>
      <c r="AC48" s="1494"/>
    </row>
    <row r="49" spans="1:29" ht="15.75" thickBot="1">
      <c r="A49" s="613" t="s">
        <v>2892</v>
      </c>
      <c r="B49" s="614"/>
      <c r="C49" s="2476">
        <f>R49</f>
        <v>10925</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10925</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0.94</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0.12285215473674538</v>
      </c>
      <c r="F52" s="619" t="str">
        <f>IF(OR(E52&gt;=0.3,E52&lt;=-0.3),"超过30%","")</f>
        <v/>
      </c>
      <c r="G52" s="618">
        <f>IF(G47&lt;G48,G48/G47-1,G47/G48-1)</f>
        <v>6.0442080161423384E-2</v>
      </c>
      <c r="H52" s="619" t="str">
        <f>IF(OR(G52&gt;=0.3,G52&lt;=-0.3),"超过30%","")</f>
        <v/>
      </c>
      <c r="I52" s="618">
        <f>IF(I47&lt;I48,I48/I47-1,I47/I48-1)</f>
        <v>0.28298453139217461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1.8377285674906485E-3</v>
      </c>
      <c r="F53" s="619" t="str">
        <f>IF(OR(E53&gt;=0.2,E53&lt;=-0.2),"超过20%","")</f>
        <v/>
      </c>
      <c r="G53" s="618">
        <f>IF(G48&lt;I48,I48/G48-1,G48/I48-1)</f>
        <v>7.979455195817664E-3</v>
      </c>
      <c r="H53" s="619" t="str">
        <f>IF(OR(G53&gt;=0.2,G53&lt;=-0.2),"超过20%","")</f>
        <v/>
      </c>
      <c r="I53" s="618">
        <f>IF(I48&lt;E48,E48/I48-1,I48/E48-1)</f>
        <v>9.8318478360746031E-3</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5.6910569105691033E-2</v>
      </c>
      <c r="F54" s="619" t="str">
        <f>IF(OR(E54&gt;=0.3,E54&lt;=-0.3),"超过30%","")</f>
        <v/>
      </c>
      <c r="G54" s="618">
        <f>IF(G47&lt;I47,I47/G47-1,G47/I47-1)</f>
        <v>0.21951219512195119</v>
      </c>
      <c r="H54" s="619" t="str">
        <f>IF(OR(G54&gt;=0.3,G54&lt;=-0.3),"超过30%","")</f>
        <v/>
      </c>
      <c r="I54" s="618">
        <f>IF(I47&lt;E47,E47/I47-1,I47/E47-1)</f>
        <v>0.15384615384615374</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G68" si="19">D68+0.5</f>
        <v>1</v>
      </c>
      <c r="F68" s="535">
        <f t="shared" si="19"/>
        <v>1.5</v>
      </c>
      <c r="G68" s="535">
        <f t="shared" si="19"/>
        <v>2</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305" t="s">
        <v>3169</v>
      </c>
      <c r="D100" s="3296" t="s">
        <v>3093</v>
      </c>
      <c r="E100" s="3296" t="s">
        <v>3094</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93</v>
      </c>
      <c r="E101" s="671">
        <f t="shared" si="23"/>
        <v>86</v>
      </c>
      <c r="F101" s="671">
        <f t="shared" si="23"/>
        <v>79</v>
      </c>
      <c r="G101" s="671">
        <f t="shared" si="23"/>
        <v>72</v>
      </c>
      <c r="H101" s="671">
        <f t="shared" si="23"/>
        <v>65</v>
      </c>
      <c r="I101" s="671">
        <f t="shared" si="23"/>
        <v>58</v>
      </c>
      <c r="J101" s="671">
        <f t="shared" si="23"/>
        <v>51</v>
      </c>
      <c r="K101" s="671">
        <f t="shared" si="23"/>
        <v>44</v>
      </c>
      <c r="L101" s="671">
        <f t="shared" si="23"/>
        <v>37</v>
      </c>
      <c r="M101" s="671">
        <f t="shared" si="23"/>
        <v>30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3104</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3105</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3096</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3107</v>
      </c>
      <c r="D114" s="3297" t="s">
        <v>3108</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3109</v>
      </c>
      <c r="D116" s="3297" t="s">
        <v>3110</v>
      </c>
      <c r="E116" s="3297" t="s">
        <v>3111</v>
      </c>
      <c r="F116" s="3297" t="s">
        <v>3112</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3096</v>
      </c>
      <c r="D122" s="3297" t="s">
        <v>3097</v>
      </c>
      <c r="E122" s="3297" t="s">
        <v>3098</v>
      </c>
      <c r="F122" s="3298" t="s">
        <v>3100</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70" zoomScaleNormal="60" zoomScaleSheetLayoutView="70" workbookViewId="0">
      <selection activeCell="N17" sqref="N1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3" t="s">
        <v>2999</v>
      </c>
      <c r="E1" s="500"/>
      <c r="F1" s="2522" t="s">
        <v>3117</v>
      </c>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839">
        <f>ROUND(B3*D3/10000,0)</f>
        <v>1711</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513</v>
      </c>
      <c r="B3" s="504">
        <f>C49</f>
        <v>11408</v>
      </c>
      <c r="C3" s="841" t="s">
        <v>716</v>
      </c>
      <c r="D3" s="840">
        <f>SUMIF('数据-汇总表'!$C19:$C33,D1,'数据-汇总表'!$E19:$E33)</f>
        <v>1500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3" t="s">
        <v>518</v>
      </c>
      <c r="AC4" s="3485" t="s">
        <v>519</v>
      </c>
    </row>
    <row r="5" spans="1:29" ht="15">
      <c r="A5" s="509"/>
      <c r="B5" s="510"/>
      <c r="C5" s="3504" t="s">
        <v>2886</v>
      </c>
      <c r="D5" s="3505"/>
      <c r="E5" s="3599" t="s">
        <v>3143</v>
      </c>
      <c r="F5" s="3525"/>
      <c r="G5" s="3600" t="s">
        <v>3146</v>
      </c>
      <c r="H5" s="3505"/>
      <c r="I5" s="3600" t="s">
        <v>3165</v>
      </c>
      <c r="J5" s="3505"/>
      <c r="K5" s="508"/>
      <c r="L5" s="2013"/>
      <c r="M5" s="2014"/>
      <c r="N5" s="2014"/>
      <c r="O5" s="2014"/>
      <c r="P5" s="3492"/>
      <c r="Q5" s="3493"/>
      <c r="R5" s="3498"/>
      <c r="S5" s="3499"/>
      <c r="T5" s="3498"/>
      <c r="U5" s="3499"/>
      <c r="V5" s="3483"/>
      <c r="W5" s="3483"/>
      <c r="X5" s="1499"/>
      <c r="Y5" s="3498"/>
      <c r="Z5" s="3499"/>
      <c r="AA5" s="3486"/>
      <c r="AB5" s="3483"/>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3"/>
      <c r="AC6" s="3487"/>
    </row>
    <row r="7" spans="1:29" s="1201" customFormat="1" ht="15.75" thickBot="1">
      <c r="A7" s="2627"/>
      <c r="B7" s="2634" t="s">
        <v>523</v>
      </c>
      <c r="C7" s="513">
        <f>'数据-取费表'!B2</f>
        <v>44295</v>
      </c>
      <c r="D7" s="514">
        <v>100</v>
      </c>
      <c r="E7" s="515">
        <v>44222</v>
      </c>
      <c r="F7" s="516">
        <f>SUMIF(58:58,YEAR(E7)&amp;"-"&amp;MONTH(E7),59:59)</f>
        <v>98.5</v>
      </c>
      <c r="G7" s="515">
        <v>44259</v>
      </c>
      <c r="H7" s="514">
        <f>SUMIF(58:58,YEAR(G7)&amp;"-"&amp;MONTH(G7),59:59)</f>
        <v>99.5</v>
      </c>
      <c r="I7" s="515">
        <v>44255</v>
      </c>
      <c r="J7" s="514">
        <f>SUMIF(58:58,YEAR(I7)&amp;"-"&amp;MONTH(I7),59:59)</f>
        <v>99</v>
      </c>
      <c r="K7" s="518"/>
      <c r="L7" s="2015"/>
      <c r="M7" s="2016"/>
      <c r="N7" s="2016"/>
      <c r="O7" s="2016"/>
      <c r="P7" s="3513" t="s">
        <v>524</v>
      </c>
      <c r="Q7" s="3515"/>
      <c r="R7" s="1500" t="s">
        <v>8</v>
      </c>
      <c r="S7" s="1501">
        <f t="shared" ref="S7:S15" si="0">F7</f>
        <v>98.5</v>
      </c>
      <c r="T7" s="1500" t="s">
        <v>8</v>
      </c>
      <c r="U7" s="1501">
        <f t="shared" ref="U7:U15" si="1">H7</f>
        <v>99.5</v>
      </c>
      <c r="V7" s="1500" t="s">
        <v>8</v>
      </c>
      <c r="W7" s="1501">
        <f t="shared" ref="W7:W15" si="2">J7</f>
        <v>99</v>
      </c>
      <c r="X7" s="1502"/>
      <c r="Y7" s="3513" t="s">
        <v>524</v>
      </c>
      <c r="Z7" s="3514"/>
      <c r="AA7" s="1503">
        <f>D7/F7</f>
        <v>1.015228426395939</v>
      </c>
      <c r="AB7" s="1503">
        <f>D7/H7</f>
        <v>1.0050251256281406</v>
      </c>
      <c r="AC7" s="1503">
        <f>D7/J7</f>
        <v>1.0101010101010102</v>
      </c>
    </row>
    <row r="8" spans="1:29" s="1201" customFormat="1" ht="15.75" thickBot="1">
      <c r="A8" s="2628"/>
      <c r="B8" s="2635" t="s">
        <v>525</v>
      </c>
      <c r="C8" s="519" t="s">
        <v>570</v>
      </c>
      <c r="D8" s="514">
        <v>100</v>
      </c>
      <c r="E8" s="519" t="s">
        <v>3071</v>
      </c>
      <c r="F8" s="516">
        <f>SUMIF(61:61,E8,62:62)-SUMIF(61:61,C8,62:62)+100</f>
        <v>100</v>
      </c>
      <c r="G8" s="519" t="s">
        <v>3071</v>
      </c>
      <c r="H8" s="514">
        <f>SUMIF(61:61,G8,62:62)-SUMIF(61:61,C8,62:62)+100</f>
        <v>100</v>
      </c>
      <c r="I8" s="519" t="s">
        <v>3071</v>
      </c>
      <c r="J8" s="514">
        <f>SUMIF(61:61,I8,62:62)-SUMIF(61:61,C8,62:62)+100</f>
        <v>100</v>
      </c>
      <c r="K8" s="518"/>
      <c r="L8" s="2015"/>
      <c r="M8" s="2016"/>
      <c r="N8" s="2016"/>
      <c r="O8" s="2016"/>
      <c r="P8" s="3513" t="s">
        <v>527</v>
      </c>
      <c r="Q8" s="3514"/>
      <c r="R8" s="1500" t="s">
        <v>8</v>
      </c>
      <c r="S8" s="1501">
        <f t="shared" si="0"/>
        <v>100</v>
      </c>
      <c r="T8" s="1500" t="s">
        <v>8</v>
      </c>
      <c r="U8" s="1501">
        <f t="shared" si="1"/>
        <v>100</v>
      </c>
      <c r="V8" s="1500" t="s">
        <v>8</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3144</v>
      </c>
      <c r="D9" s="252">
        <v>100</v>
      </c>
      <c r="E9" s="849" t="s">
        <v>2999</v>
      </c>
      <c r="F9" s="252">
        <f>SUMIF(63:63,E9,64:64)-SUMIF(63:63,C9,64:64)+100</f>
        <v>100</v>
      </c>
      <c r="G9" s="847" t="s">
        <v>2999</v>
      </c>
      <c r="H9" s="252">
        <f>SUMIF(63:63,G9,64:64)-SUMIF(63:63,C9,64:64)+100</f>
        <v>100</v>
      </c>
      <c r="I9" s="847" t="s">
        <v>2999</v>
      </c>
      <c r="J9" s="252">
        <f>SUMIF(63:63,I9,64:64)-SUMIF(63:63,C9,64:64)+100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75" thickBot="1">
      <c r="A10" s="2630"/>
      <c r="B10" s="2635" t="s">
        <v>2737</v>
      </c>
      <c r="C10" s="850" t="s">
        <v>3145</v>
      </c>
      <c r="D10" s="253">
        <v>100</v>
      </c>
      <c r="E10" s="850" t="s">
        <v>3145</v>
      </c>
      <c r="F10" s="253">
        <f>SUMIF(65:65,E10,66:66)-SUMIF(65:65,C10,66:66)+100</f>
        <v>100</v>
      </c>
      <c r="G10" s="851" t="s">
        <v>3145</v>
      </c>
      <c r="H10" s="253">
        <f>SUMIF(65:65,G10,66:66)-SUMIF(65:65,C10,66:66)+100</f>
        <v>100</v>
      </c>
      <c r="I10" s="850" t="s">
        <v>3145</v>
      </c>
      <c r="J10" s="253">
        <f>SUMIF(65:65,I10,66:66)-SUMIF(65:65,C10,66:66)+100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hidden="1">
      <c r="A11" s="2631"/>
      <c r="B11" s="2635" t="s">
        <v>2738</v>
      </c>
      <c r="C11" s="527"/>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482"/>
      <c r="Q11" s="1132" t="str">
        <f t="shared" si="6"/>
        <v>容积率</v>
      </c>
      <c r="R11" s="1500" t="s">
        <v>8</v>
      </c>
      <c r="S11" s="1501">
        <f t="shared" si="0"/>
        <v>100</v>
      </c>
      <c r="T11" s="1500" t="s">
        <v>8</v>
      </c>
      <c r="U11" s="1501">
        <f t="shared" si="1"/>
        <v>100</v>
      </c>
      <c r="V11" s="1500" t="s">
        <v>8</v>
      </c>
      <c r="W11" s="1501">
        <f t="shared" si="2"/>
        <v>100</v>
      </c>
      <c r="X11" s="1502"/>
      <c r="Y11" s="3428"/>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899"/>
      <c r="H12" s="253">
        <f>SUMIF(70:70,G12,71:71)-SUMIF(70:70,C12,71:71)+100</f>
        <v>100</v>
      </c>
      <c r="I12" s="533"/>
      <c r="J12" s="253">
        <f>SUMIF(70:70,I12,71:71)-SUMIF(70:70,C12,71:71)+100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899"/>
      <c r="H13" s="534">
        <f>SUMIF(72:72,G13,73:73)-SUMIF(72:72,C13,73:73)+100</f>
        <v>100</v>
      </c>
      <c r="I13" s="533"/>
      <c r="J13" s="534">
        <f>SUMIF(72:72,I13,73:73)-SUMIF(72:72,C13,73:73)+100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hidden="1" thickBot="1">
      <c r="A14" s="2633"/>
      <c r="B14" s="2639">
        <v>111</v>
      </c>
      <c r="C14" s="539"/>
      <c r="D14" s="540">
        <v>100</v>
      </c>
      <c r="E14" s="539"/>
      <c r="F14" s="540">
        <f>SUMIF(74:74,E14,75:75)-SUMIF(74:74,C14,75:75)+100</f>
        <v>100</v>
      </c>
      <c r="G14" s="899"/>
      <c r="H14" s="540">
        <f>SUMIF(74:74,G14,75:75)-SUMIF(74:74,C14,75:75)+100</f>
        <v>100</v>
      </c>
      <c r="I14" s="533"/>
      <c r="J14" s="540">
        <f>SUMIF(74:74,I14,75:75)-SUMIF(74:74,C14,75:75)+100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71.25">
      <c r="A15" s="2625" t="s">
        <v>2734</v>
      </c>
      <c r="B15" s="164" t="s">
        <v>535</v>
      </c>
      <c r="C15" s="856" t="str">
        <f>估价对象房地状况!C4</f>
        <v>估价对象位于XX商圈，周边商业氛围成熟，人流量大，商业繁华度好</v>
      </c>
      <c r="D15" s="543">
        <v>100</v>
      </c>
      <c r="E15" s="544"/>
      <c r="F15" s="545">
        <f>SUMIF(76:76,E16,77:77)-SUMIF(76:76,C16,77:77)+100</f>
        <v>102</v>
      </c>
      <c r="G15" s="546"/>
      <c r="H15" s="543">
        <f>SUMIF(76:76,G16,77:77)-SUMIF(76:76,C16,77:77)+100</f>
        <v>100</v>
      </c>
      <c r="I15" s="544"/>
      <c r="J15" s="543">
        <f>SUMIF(76:76,I16,77:77)-SUMIF(76:76,C16,77:77)+100</f>
        <v>102</v>
      </c>
      <c r="K15" s="886">
        <v>2</v>
      </c>
      <c r="L15" s="2022"/>
      <c r="M15" s="2014"/>
      <c r="N15" s="2014"/>
      <c r="O15" s="2021"/>
      <c r="P15" s="3516" t="s">
        <v>534</v>
      </c>
      <c r="Q15" s="1504" t="str">
        <f t="shared" si="6"/>
        <v>商业繁华度</v>
      </c>
      <c r="R15" s="1505" t="s">
        <v>8</v>
      </c>
      <c r="S15" s="1506">
        <f t="shared" si="0"/>
        <v>102</v>
      </c>
      <c r="T15" s="1505" t="s">
        <v>8</v>
      </c>
      <c r="U15" s="1506">
        <f t="shared" si="1"/>
        <v>100</v>
      </c>
      <c r="V15" s="1505" t="s">
        <v>8</v>
      </c>
      <c r="W15" s="1506">
        <f t="shared" si="2"/>
        <v>102</v>
      </c>
      <c r="X15" s="1499"/>
      <c r="Y15" s="3516" t="s">
        <v>534</v>
      </c>
      <c r="Z15" s="1507" t="str">
        <f t="shared" si="7"/>
        <v>商业繁华度</v>
      </c>
      <c r="AA15" s="1508">
        <f t="shared" si="3"/>
        <v>0.98039215686274506</v>
      </c>
      <c r="AB15" s="1508">
        <f t="shared" si="4"/>
        <v>1</v>
      </c>
      <c r="AC15" s="1508">
        <f t="shared" si="5"/>
        <v>0.98039215686274506</v>
      </c>
    </row>
    <row r="16" spans="1:29" ht="15">
      <c r="A16" s="526"/>
      <c r="B16" s="858"/>
      <c r="C16" s="570" t="s">
        <v>3080</v>
      </c>
      <c r="D16" s="549"/>
      <c r="E16" s="570" t="s">
        <v>3113</v>
      </c>
      <c r="F16" s="551"/>
      <c r="G16" s="570" t="s">
        <v>3080</v>
      </c>
      <c r="H16" s="553"/>
      <c r="I16" s="570" t="s">
        <v>3113</v>
      </c>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86">
        <f>'不动产比较法-住宅'!K17</f>
        <v>3</v>
      </c>
      <c r="L17" s="2022"/>
      <c r="M17" s="2014"/>
      <c r="N17" s="2014"/>
      <c r="O17" s="2021"/>
      <c r="P17" s="3517"/>
      <c r="Q17" s="1504" t="str">
        <f>B17</f>
        <v>交通便捷度</v>
      </c>
      <c r="R17" s="1505" t="s">
        <v>8</v>
      </c>
      <c r="S17" s="1506">
        <f>F17</f>
        <v>103</v>
      </c>
      <c r="T17" s="1505" t="s">
        <v>8</v>
      </c>
      <c r="U17" s="1506">
        <f>H17</f>
        <v>103</v>
      </c>
      <c r="V17" s="1505" t="s">
        <v>8</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3080</v>
      </c>
      <c r="D18" s="553"/>
      <c r="E18" s="562" t="s">
        <v>3113</v>
      </c>
      <c r="F18" s="557"/>
      <c r="G18" s="563" t="s">
        <v>3113</v>
      </c>
      <c r="H18" s="549"/>
      <c r="I18" s="562" t="s">
        <v>3113</v>
      </c>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86">
        <f>'不动产比较法-住宅'!K19</f>
        <v>2</v>
      </c>
      <c r="L19" s="2022"/>
      <c r="M19" s="2014"/>
      <c r="N19" s="2014"/>
      <c r="O19" s="2021"/>
      <c r="P19" s="3517"/>
      <c r="Q19" s="1504" t="str">
        <f>B19</f>
        <v>公共配套设施</v>
      </c>
      <c r="R19" s="1505" t="s">
        <v>8</v>
      </c>
      <c r="S19" s="1506">
        <f>F19</f>
        <v>102</v>
      </c>
      <c r="T19" s="1505" t="s">
        <v>8</v>
      </c>
      <c r="U19" s="1506">
        <f>H19</f>
        <v>102</v>
      </c>
      <c r="V19" s="1505" t="s">
        <v>8</v>
      </c>
      <c r="W19" s="1506">
        <f>J19</f>
        <v>102</v>
      </c>
      <c r="X19" s="1499"/>
      <c r="Y19" s="3517"/>
      <c r="Z19" s="1507" t="str">
        <f>Q19</f>
        <v>公共配套设施</v>
      </c>
      <c r="AA19" s="1508">
        <f t="shared" si="3"/>
        <v>0.98039215686274506</v>
      </c>
      <c r="AB19" s="1508">
        <f t="shared" si="4"/>
        <v>0.98039215686274506</v>
      </c>
      <c r="AC19" s="1508">
        <f t="shared" si="5"/>
        <v>0.98039215686274506</v>
      </c>
    </row>
    <row r="20" spans="1:29" ht="15">
      <c r="A20" s="526"/>
      <c r="B20" s="589"/>
      <c r="C20" s="570" t="s">
        <v>3080</v>
      </c>
      <c r="D20" s="549"/>
      <c r="E20" s="550" t="s">
        <v>3113</v>
      </c>
      <c r="F20" s="551"/>
      <c r="G20" s="552" t="s">
        <v>3113</v>
      </c>
      <c r="H20" s="549"/>
      <c r="I20" s="550" t="s">
        <v>3113</v>
      </c>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f>'不动产比较法-住宅'!K21</f>
        <v>3</v>
      </c>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3103</v>
      </c>
      <c r="D22" s="549"/>
      <c r="E22" s="570" t="s">
        <v>3103</v>
      </c>
      <c r="F22" s="551"/>
      <c r="G22" s="570" t="s">
        <v>3103</v>
      </c>
      <c r="H22" s="549"/>
      <c r="I22" s="570" t="s">
        <v>3103</v>
      </c>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f>'不动产比较法-住宅'!K23</f>
        <v>2</v>
      </c>
      <c r="L23" s="2022"/>
      <c r="M23" s="2014"/>
      <c r="N23" s="2014"/>
      <c r="O23" s="2021"/>
      <c r="P23" s="3517"/>
      <c r="Q23" s="1504" t="str">
        <f>B23</f>
        <v>自然及人文环境</v>
      </c>
      <c r="R23" s="1505" t="s">
        <v>8</v>
      </c>
      <c r="S23" s="1506">
        <f>F23</f>
        <v>100</v>
      </c>
      <c r="T23" s="1505" t="s">
        <v>8</v>
      </c>
      <c r="U23" s="1506">
        <f>H23</f>
        <v>100</v>
      </c>
      <c r="V23" s="1505" t="s">
        <v>8</v>
      </c>
      <c r="W23" s="1506">
        <f>J23</f>
        <v>100</v>
      </c>
      <c r="X23" s="1499"/>
      <c r="Y23" s="3517"/>
      <c r="Z23" s="1507" t="str">
        <f>Q23</f>
        <v>自然及人文环境</v>
      </c>
      <c r="AA23" s="1508">
        <f t="shared" si="3"/>
        <v>1</v>
      </c>
      <c r="AB23" s="1508">
        <f t="shared" si="4"/>
        <v>1</v>
      </c>
      <c r="AC23" s="1508">
        <f t="shared" si="5"/>
        <v>1</v>
      </c>
    </row>
    <row r="24" spans="1:29" ht="15">
      <c r="A24" s="526"/>
      <c r="B24" s="589"/>
      <c r="C24" s="570" t="s">
        <v>3113</v>
      </c>
      <c r="D24" s="549"/>
      <c r="E24" s="550" t="s">
        <v>3113</v>
      </c>
      <c r="F24" s="551"/>
      <c r="G24" s="552" t="s">
        <v>3113</v>
      </c>
      <c r="H24" s="549"/>
      <c r="I24" s="550" t="s">
        <v>3113</v>
      </c>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517"/>
      <c r="Q25" s="1504" t="str">
        <f t="shared" ref="Q25:Q46" si="11">B25</f>
        <v>临街状况</v>
      </c>
      <c r="R25" s="1505" t="s">
        <v>8</v>
      </c>
      <c r="S25" s="1506">
        <f>F25</f>
        <v>100</v>
      </c>
      <c r="T25" s="1505" t="s">
        <v>8</v>
      </c>
      <c r="U25" s="1506">
        <f>H25</f>
        <v>100</v>
      </c>
      <c r="V25" s="1505" t="s">
        <v>8</v>
      </c>
      <c r="W25" s="1506">
        <f>J25</f>
        <v>100</v>
      </c>
      <c r="X25" s="1499"/>
      <c r="Y25" s="3517"/>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517"/>
      <c r="Q26" s="1504" t="str">
        <f t="shared" si="11"/>
        <v>平面位置/可视性</v>
      </c>
      <c r="R26" s="1505" t="s">
        <v>8</v>
      </c>
      <c r="S26" s="1506">
        <f>F26</f>
        <v>100</v>
      </c>
      <c r="T26" s="1505" t="s">
        <v>8</v>
      </c>
      <c r="U26" s="1506">
        <f>H26</f>
        <v>100</v>
      </c>
      <c r="V26" s="1505" t="s">
        <v>8</v>
      </c>
      <c r="W26" s="1506">
        <f>J26</f>
        <v>100</v>
      </c>
      <c r="X26" s="1499"/>
      <c r="Y26" s="3517"/>
      <c r="Z26" s="1507" t="str">
        <f>Q26</f>
        <v>平面位置/可视性</v>
      </c>
      <c r="AA26" s="1508">
        <f t="shared" si="3"/>
        <v>1</v>
      </c>
      <c r="AB26" s="1508">
        <f t="shared" si="4"/>
        <v>1</v>
      </c>
      <c r="AC26" s="1508">
        <f t="shared" si="5"/>
        <v>1</v>
      </c>
    </row>
    <row r="27" spans="1:29" s="1201" customFormat="1" ht="15">
      <c r="A27" s="530"/>
      <c r="B27" s="860" t="s">
        <v>753</v>
      </c>
      <c r="C27" s="889" t="s">
        <v>3080</v>
      </c>
      <c r="D27" s="864">
        <v>100</v>
      </c>
      <c r="E27" s="889" t="s">
        <v>3113</v>
      </c>
      <c r="F27" s="865">
        <f>SUMIF(90:90,E27,91:91)-SUMIF(90:90,C27,91:91)+100</f>
        <v>102</v>
      </c>
      <c r="G27" s="889" t="s">
        <v>3113</v>
      </c>
      <c r="H27" s="864">
        <f>SUMIF(90:90,G27,91:91)-SUMIF(90:90,C27,91:91)+100</f>
        <v>102</v>
      </c>
      <c r="I27" s="889" t="s">
        <v>3113</v>
      </c>
      <c r="J27" s="864">
        <f>SUMIF(90:90,I27,91:91)-SUMIF(90:90,C27,91:91)+100</f>
        <v>102</v>
      </c>
      <c r="K27" s="578">
        <v>2</v>
      </c>
      <c r="L27" s="2015"/>
      <c r="M27" s="2016"/>
      <c r="N27" s="2016"/>
      <c r="O27" s="2017"/>
      <c r="P27" s="3517"/>
      <c r="Q27" s="1132" t="str">
        <f t="shared" si="11"/>
        <v>人流量</v>
      </c>
      <c r="R27" s="1500" t="s">
        <v>8</v>
      </c>
      <c r="S27" s="1501">
        <f>F27</f>
        <v>102</v>
      </c>
      <c r="T27" s="1500" t="s">
        <v>8</v>
      </c>
      <c r="U27" s="1501">
        <f>H27</f>
        <v>102</v>
      </c>
      <c r="V27" s="1500" t="s">
        <v>8</v>
      </c>
      <c r="W27" s="1501">
        <f>J27</f>
        <v>102</v>
      </c>
      <c r="X27" s="1502"/>
      <c r="Y27" s="3517"/>
      <c r="Z27" s="1131" t="str">
        <f>Q27</f>
        <v>人流量</v>
      </c>
      <c r="AA27" s="1508">
        <f>D27/F27</f>
        <v>0.98039215686274506</v>
      </c>
      <c r="AB27" s="1508">
        <f>D27/H27</f>
        <v>0.98039215686274506</v>
      </c>
      <c r="AC27" s="1508">
        <f>D27/J27</f>
        <v>0.98039215686274506</v>
      </c>
    </row>
    <row r="28" spans="1:29" ht="15.75" thickBot="1">
      <c r="A28" s="526"/>
      <c r="B28" s="521" t="s">
        <v>755</v>
      </c>
      <c r="C28" s="577" t="s">
        <v>3161</v>
      </c>
      <c r="D28" s="534">
        <v>100</v>
      </c>
      <c r="E28" s="577" t="s">
        <v>3161</v>
      </c>
      <c r="F28" s="569">
        <f>SUMIF(92:92,E28,93:93)-SUMIF(92:92,C28,93:93)+100</f>
        <v>100</v>
      </c>
      <c r="G28" s="577" t="s">
        <v>3161</v>
      </c>
      <c r="H28" s="534">
        <f>SUMIF(92:92,G28,93:93)-SUMIF(92:92,C28,93:93)+100</f>
        <v>100</v>
      </c>
      <c r="I28" s="577" t="s">
        <v>3161</v>
      </c>
      <c r="J28" s="534">
        <f>SUMIF(92:92,I28,93:93)-SUMIF(92:92,C28,93:93)+100</f>
        <v>100</v>
      </c>
      <c r="K28" s="575"/>
      <c r="L28" s="2022"/>
      <c r="M28" s="2014"/>
      <c r="N28" s="2014"/>
      <c r="O28" s="2021"/>
      <c r="P28" s="3517"/>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17"/>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517"/>
      <c r="Q29" s="1504">
        <f t="shared" si="11"/>
        <v>111</v>
      </c>
      <c r="R29" s="1505" t="s">
        <v>8</v>
      </c>
      <c r="S29" s="1506">
        <f t="shared" si="12"/>
        <v>100</v>
      </c>
      <c r="T29" s="1505" t="s">
        <v>8</v>
      </c>
      <c r="U29" s="1506">
        <f t="shared" si="13"/>
        <v>100</v>
      </c>
      <c r="V29" s="1505" t="s">
        <v>8</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
      <c r="A32" s="2622" t="s">
        <v>2735</v>
      </c>
      <c r="B32" s="170" t="s">
        <v>756</v>
      </c>
      <c r="C32" s="867" t="s">
        <v>3088</v>
      </c>
      <c r="D32" s="591">
        <v>100</v>
      </c>
      <c r="E32" s="867" t="s">
        <v>3088</v>
      </c>
      <c r="F32" s="569">
        <f>SUMIF(100:100,E32,101:101)-SUMIF(100:100,C32,101:101)+100</f>
        <v>100</v>
      </c>
      <c r="G32" s="867" t="s">
        <v>3088</v>
      </c>
      <c r="H32" s="534">
        <f>SUMIF(100:100,G32,101:101)-SUMIF(100:100,C32,101:101)+100</f>
        <v>100</v>
      </c>
      <c r="I32" s="867" t="s">
        <v>3088</v>
      </c>
      <c r="J32" s="591">
        <f>SUMIF(100:100,I32,101:101)-SUMIF(100:100,C32,101:101)+100</f>
        <v>100</v>
      </c>
      <c r="K32" s="578">
        <v>5</v>
      </c>
      <c r="L32" s="2022"/>
      <c r="M32" s="2014"/>
      <c r="N32" s="2014"/>
      <c r="O32" s="2021"/>
      <c r="P32" s="3518" t="s">
        <v>544</v>
      </c>
      <c r="Q32" s="1504" t="str">
        <f t="shared" si="11"/>
        <v>商业类型</v>
      </c>
      <c r="R32" s="1505" t="s">
        <v>8</v>
      </c>
      <c r="S32" s="1506">
        <f t="shared" si="12"/>
        <v>100</v>
      </c>
      <c r="T32" s="1505" t="s">
        <v>8</v>
      </c>
      <c r="U32" s="1506">
        <f t="shared" si="13"/>
        <v>100</v>
      </c>
      <c r="V32" s="1505" t="s">
        <v>8</v>
      </c>
      <c r="W32" s="1506">
        <f t="shared" si="14"/>
        <v>100</v>
      </c>
      <c r="X32" s="1499"/>
      <c r="Y32" s="3519" t="s">
        <v>544</v>
      </c>
      <c r="Z32" s="1507" t="str">
        <f t="shared" si="15"/>
        <v>商业类型</v>
      </c>
      <c r="AA32" s="1508">
        <f t="shared" si="3"/>
        <v>1</v>
      </c>
      <c r="AB32" s="1508">
        <f t="shared" si="4"/>
        <v>1</v>
      </c>
      <c r="AC32" s="1508">
        <f t="shared" si="5"/>
        <v>1</v>
      </c>
    </row>
    <row r="33" spans="1:29" s="1291" customFormat="1" ht="15">
      <c r="A33" s="597"/>
      <c r="B33" s="521" t="s">
        <v>720</v>
      </c>
      <c r="C33" s="869"/>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519"/>
      <c r="Q33" s="1533" t="str">
        <f t="shared" si="11"/>
        <v>项目建筑规模</v>
      </c>
      <c r="R33" s="1509" t="s">
        <v>8</v>
      </c>
      <c r="S33" s="1510">
        <f t="shared" si="12"/>
        <v>100</v>
      </c>
      <c r="T33" s="1509" t="s">
        <v>8</v>
      </c>
      <c r="U33" s="1510">
        <f t="shared" si="13"/>
        <v>100</v>
      </c>
      <c r="V33" s="1509" t="s">
        <v>8</v>
      </c>
      <c r="W33" s="1510">
        <f t="shared" si="14"/>
        <v>100</v>
      </c>
      <c r="X33" s="1511"/>
      <c r="Y33" s="3519"/>
      <c r="Z33" s="1512" t="str">
        <f t="shared" si="15"/>
        <v>项目建筑规模</v>
      </c>
      <c r="AA33" s="1508">
        <f t="shared" si="3"/>
        <v>1</v>
      </c>
      <c r="AB33" s="1508">
        <f t="shared" si="4"/>
        <v>1</v>
      </c>
      <c r="AC33" s="1508">
        <f t="shared" si="5"/>
        <v>1</v>
      </c>
    </row>
    <row r="34" spans="1:29" ht="15">
      <c r="A34" s="588"/>
      <c r="B34" s="521" t="s">
        <v>721</v>
      </c>
      <c r="C34" s="870" t="s">
        <v>3079</v>
      </c>
      <c r="D34" s="534">
        <v>100</v>
      </c>
      <c r="E34" s="870" t="s">
        <v>3079</v>
      </c>
      <c r="F34" s="569">
        <f>SUMIF(105:105,E34,106:106)-SUMIF(105:105,C34,106:106)+100</f>
        <v>100</v>
      </c>
      <c r="G34" s="870" t="s">
        <v>3079</v>
      </c>
      <c r="H34" s="534">
        <f>SUMIF(105:105,G34,106:106)-SUMIF(105:105,C34,106:106)+100</f>
        <v>100</v>
      </c>
      <c r="I34" s="870" t="s">
        <v>3079</v>
      </c>
      <c r="J34" s="534">
        <f>SUMIF(105:105,I34,106:106)-SUMIF(105:105,C34,106:106)+100</f>
        <v>100</v>
      </c>
      <c r="K34" s="578">
        <v>2</v>
      </c>
      <c r="L34" s="2022"/>
      <c r="M34" s="2014"/>
      <c r="N34" s="2014"/>
      <c r="O34" s="2021"/>
      <c r="P34" s="3519"/>
      <c r="Q34" s="1504" t="str">
        <f t="shared" si="11"/>
        <v>建筑结构</v>
      </c>
      <c r="R34" s="1505" t="s">
        <v>8</v>
      </c>
      <c r="S34" s="1506">
        <f t="shared" si="12"/>
        <v>100</v>
      </c>
      <c r="T34" s="1505" t="s">
        <v>8</v>
      </c>
      <c r="U34" s="1506">
        <f t="shared" si="13"/>
        <v>100</v>
      </c>
      <c r="V34" s="1505" t="s">
        <v>8</v>
      </c>
      <c r="W34" s="1506">
        <f t="shared" si="14"/>
        <v>100</v>
      </c>
      <c r="X34" s="1499"/>
      <c r="Y34" s="3519"/>
      <c r="Z34" s="1507" t="str">
        <f t="shared" si="15"/>
        <v>建筑结构</v>
      </c>
      <c r="AA34" s="1508">
        <f t="shared" si="3"/>
        <v>1</v>
      </c>
      <c r="AB34" s="1508">
        <f t="shared" si="4"/>
        <v>1</v>
      </c>
      <c r="AC34" s="1508">
        <f t="shared" si="5"/>
        <v>1</v>
      </c>
    </row>
    <row r="35" spans="1:29" ht="15">
      <c r="A35" s="588"/>
      <c r="B35" s="521" t="s">
        <v>757</v>
      </c>
      <c r="C35" s="593" t="s">
        <v>3095</v>
      </c>
      <c r="D35" s="534">
        <v>100</v>
      </c>
      <c r="E35" s="593" t="s">
        <v>3095</v>
      </c>
      <c r="F35" s="569">
        <f>SUMIF(107:107,E35,108:108)-SUMIF(107:107,C35,108:108)+100</f>
        <v>100</v>
      </c>
      <c r="G35" s="593" t="s">
        <v>3095</v>
      </c>
      <c r="H35" s="534">
        <f>SUMIF(107:107,G35,108:108)-SUMIF(107:107,C35,108:108)+100</f>
        <v>100</v>
      </c>
      <c r="I35" s="593" t="s">
        <v>3095</v>
      </c>
      <c r="J35" s="534">
        <f>SUMIF(107:107,I35,108:108)-SUMIF(107:107,C35,108:108)+100</f>
        <v>100</v>
      </c>
      <c r="K35" s="578">
        <v>2</v>
      </c>
      <c r="L35" s="2022"/>
      <c r="M35" s="2014"/>
      <c r="N35" s="2014"/>
      <c r="O35" s="2021"/>
      <c r="P35" s="3519"/>
      <c r="Q35" s="1504" t="str">
        <f t="shared" si="11"/>
        <v>公共部分装修</v>
      </c>
      <c r="R35" s="1505" t="s">
        <v>8</v>
      </c>
      <c r="S35" s="1506">
        <f t="shared" si="12"/>
        <v>100</v>
      </c>
      <c r="T35" s="1505" t="s">
        <v>8</v>
      </c>
      <c r="U35" s="1506">
        <f t="shared" si="13"/>
        <v>100</v>
      </c>
      <c r="V35" s="1505" t="s">
        <v>8</v>
      </c>
      <c r="W35" s="1506">
        <f t="shared" si="14"/>
        <v>100</v>
      </c>
      <c r="X35" s="1499"/>
      <c r="Y35" s="3519"/>
      <c r="Z35" s="1507" t="str">
        <f t="shared" si="15"/>
        <v>公共部分装修</v>
      </c>
      <c r="AA35" s="1508">
        <f t="shared" si="3"/>
        <v>1</v>
      </c>
      <c r="AB35" s="1508">
        <f t="shared" si="4"/>
        <v>1</v>
      </c>
      <c r="AC35" s="1508">
        <f t="shared" si="5"/>
        <v>1</v>
      </c>
    </row>
    <row r="36" spans="1:29" ht="15">
      <c r="A36" s="588"/>
      <c r="B36" s="521" t="s">
        <v>758</v>
      </c>
      <c r="C36" s="871">
        <v>1</v>
      </c>
      <c r="D36" s="534">
        <v>100</v>
      </c>
      <c r="E36" s="871">
        <v>0.89</v>
      </c>
      <c r="F36" s="569">
        <f>LOOKUP(E36,110:110,111:111)-LOOKUP(C36,110:110,111:111)+100</f>
        <v>98</v>
      </c>
      <c r="G36" s="871">
        <v>0.89</v>
      </c>
      <c r="H36" s="569">
        <f>LOOKUP(G36,110:110,111:111)-LOOKUP(C36,110:110,111:111)+100</f>
        <v>98</v>
      </c>
      <c r="I36" s="871">
        <v>0.89</v>
      </c>
      <c r="J36" s="534">
        <f>LOOKUP(I36,110:110,111:111)-LOOKUP(C36,110:110,111:111)+100</f>
        <v>98</v>
      </c>
      <c r="K36" s="578">
        <v>2</v>
      </c>
      <c r="L36" s="2022"/>
      <c r="M36" s="2014"/>
      <c r="N36" s="2014"/>
      <c r="O36" s="2021"/>
      <c r="P36" s="3519"/>
      <c r="Q36" s="1504" t="str">
        <f t="shared" si="11"/>
        <v>成新度</v>
      </c>
      <c r="R36" s="1505" t="s">
        <v>8</v>
      </c>
      <c r="S36" s="1506">
        <f t="shared" si="12"/>
        <v>98</v>
      </c>
      <c r="T36" s="1505" t="s">
        <v>8</v>
      </c>
      <c r="U36" s="1506">
        <f t="shared" si="13"/>
        <v>98</v>
      </c>
      <c r="V36" s="1505" t="s">
        <v>8</v>
      </c>
      <c r="W36" s="1506">
        <f t="shared" si="14"/>
        <v>98</v>
      </c>
      <c r="X36" s="1499"/>
      <c r="Y36" s="3519"/>
      <c r="Z36" s="1507" t="str">
        <f t="shared" si="15"/>
        <v>成新度</v>
      </c>
      <c r="AA36" s="1508">
        <f t="shared" si="3"/>
        <v>1.0204081632653061</v>
      </c>
      <c r="AB36" s="1508">
        <f t="shared" si="4"/>
        <v>1.0204081632653061</v>
      </c>
      <c r="AC36" s="1508">
        <f t="shared" si="5"/>
        <v>1.0204081632653061</v>
      </c>
    </row>
    <row r="37" spans="1:29" s="1201" customFormat="1" ht="15">
      <c r="A37" s="594"/>
      <c r="B37" s="1807" t="s">
        <v>2546</v>
      </c>
      <c r="C37" s="593" t="s">
        <v>3103</v>
      </c>
      <c r="D37" s="253">
        <v>100</v>
      </c>
      <c r="E37" s="593" t="s">
        <v>3103</v>
      </c>
      <c r="F37" s="569">
        <f>SUMIF(112:112,E37,113:113)-SUMIF(112:112,C37,113:113)+100</f>
        <v>100</v>
      </c>
      <c r="G37" s="593" t="s">
        <v>3103</v>
      </c>
      <c r="H37" s="534">
        <f>SUMIF(112:112,G37,113:113)-SUMIF(112:112,C37,113:113)+100</f>
        <v>100</v>
      </c>
      <c r="I37" s="593" t="s">
        <v>3103</v>
      </c>
      <c r="J37" s="534">
        <f>SUMIF(112:112,I37,113:113)-SUMIF(112:112,C37,113:113)+100</f>
        <v>100</v>
      </c>
      <c r="K37" s="578">
        <v>2</v>
      </c>
      <c r="L37" s="2015"/>
      <c r="M37" s="2016"/>
      <c r="N37" s="2016"/>
      <c r="O37" s="2017"/>
      <c r="P37" s="3519"/>
      <c r="Q37" s="1132" t="str">
        <f t="shared" si="11"/>
        <v>市政基础设施</v>
      </c>
      <c r="R37" s="1500" t="s">
        <v>8</v>
      </c>
      <c r="S37" s="1501">
        <f t="shared" si="12"/>
        <v>100</v>
      </c>
      <c r="T37" s="1500" t="s">
        <v>8</v>
      </c>
      <c r="U37" s="1501">
        <f t="shared" si="13"/>
        <v>100</v>
      </c>
      <c r="V37" s="1500" t="s">
        <v>8</v>
      </c>
      <c r="W37" s="1501">
        <f t="shared" si="14"/>
        <v>100</v>
      </c>
      <c r="X37" s="1502"/>
      <c r="Y37" s="3519"/>
      <c r="Z37" s="1131" t="str">
        <f t="shared" si="15"/>
        <v>市政基础设施</v>
      </c>
      <c r="AA37" s="1503">
        <f t="shared" si="3"/>
        <v>1</v>
      </c>
      <c r="AB37" s="1503">
        <f t="shared" si="4"/>
        <v>1</v>
      </c>
      <c r="AC37" s="1503">
        <f t="shared" si="5"/>
        <v>1</v>
      </c>
    </row>
    <row r="38" spans="1:29" ht="15">
      <c r="A38" s="588"/>
      <c r="B38" s="521" t="s">
        <v>759</v>
      </c>
      <c r="C38" s="593" t="s">
        <v>3152</v>
      </c>
      <c r="D38" s="534">
        <v>100</v>
      </c>
      <c r="E38" s="593" t="s">
        <v>3152</v>
      </c>
      <c r="F38" s="569">
        <f>SUMIF(114:114,E38,115:115)-SUMIF(114:114,C38,115:115)+100</f>
        <v>100</v>
      </c>
      <c r="G38" s="593" t="s">
        <v>3152</v>
      </c>
      <c r="H38" s="534">
        <f>SUMIF(114:114,G38,115:115)-SUMIF(114:114,C38,115:115)+100</f>
        <v>100</v>
      </c>
      <c r="I38" s="593" t="s">
        <v>3152</v>
      </c>
      <c r="J38" s="534">
        <f>SUMIF(114:114,I38,115:115)-SUMIF(114:114,C38,115:115)+100</f>
        <v>100</v>
      </c>
      <c r="K38" s="578">
        <v>2</v>
      </c>
      <c r="L38" s="2022"/>
      <c r="M38" s="2014"/>
      <c r="N38" s="2014"/>
      <c r="O38" s="2021"/>
      <c r="P38" s="3519" t="s">
        <v>760</v>
      </c>
      <c r="Q38" s="1504" t="str">
        <f t="shared" si="11"/>
        <v>业态</v>
      </c>
      <c r="R38" s="1505" t="s">
        <v>8</v>
      </c>
      <c r="S38" s="1506">
        <f t="shared" si="12"/>
        <v>100</v>
      </c>
      <c r="T38" s="1505" t="s">
        <v>8</v>
      </c>
      <c r="U38" s="1506">
        <f t="shared" si="13"/>
        <v>100</v>
      </c>
      <c r="V38" s="1505" t="s">
        <v>8</v>
      </c>
      <c r="W38" s="1506">
        <f t="shared" si="14"/>
        <v>100</v>
      </c>
      <c r="X38" s="1499"/>
      <c r="Y38" s="3519"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c r="Q39" s="1504" t="str">
        <f t="shared" si="11"/>
        <v>层高</v>
      </c>
      <c r="R39" s="1505" t="s">
        <v>8</v>
      </c>
      <c r="S39" s="1506">
        <f t="shared" si="12"/>
        <v>100</v>
      </c>
      <c r="T39" s="1505" t="s">
        <v>8</v>
      </c>
      <c r="U39" s="1506">
        <f t="shared" si="13"/>
        <v>100</v>
      </c>
      <c r="V39" s="1505" t="s">
        <v>8</v>
      </c>
      <c r="W39" s="1506">
        <f t="shared" si="14"/>
        <v>100</v>
      </c>
      <c r="X39" s="1499"/>
      <c r="Y39" s="3519"/>
      <c r="Z39" s="1507" t="str">
        <f t="shared" si="15"/>
        <v>层高</v>
      </c>
      <c r="AA39" s="1508">
        <f t="shared" si="3"/>
        <v>1</v>
      </c>
      <c r="AB39" s="1508">
        <f t="shared" si="4"/>
        <v>1</v>
      </c>
      <c r="AC39" s="1508">
        <f t="shared" si="5"/>
        <v>1</v>
      </c>
    </row>
    <row r="40" spans="1:29" ht="15" hidden="1">
      <c r="A40" s="588"/>
      <c r="B40" s="521" t="s">
        <v>762</v>
      </c>
      <c r="C40" s="890"/>
      <c r="D40" s="534">
        <v>100</v>
      </c>
      <c r="E40" s="890"/>
      <c r="F40" s="569">
        <f>SUMIF(118:118,E40,119:119)-SUMIF(118:118,C40,119:119)+100</f>
        <v>100</v>
      </c>
      <c r="G40" s="890"/>
      <c r="H40" s="534">
        <f>SUMIF(118:118,G40,119:119)-SUMIF(118:118,C40,119:119)+100</f>
        <v>100</v>
      </c>
      <c r="I40" s="890"/>
      <c r="J40" s="534">
        <f>SUMIF(118:118,I40,119:119)-SUMIF(118:118,C40,119:119)+100</f>
        <v>100</v>
      </c>
      <c r="K40" s="575"/>
      <c r="L40" s="2022"/>
      <c r="M40" s="2014"/>
      <c r="N40" s="2014"/>
      <c r="O40" s="2021"/>
      <c r="P40" s="3519"/>
      <c r="Q40" s="1504" t="str">
        <f t="shared" si="11"/>
        <v>单套建筑面积</v>
      </c>
      <c r="R40" s="1505" t="s">
        <v>8</v>
      </c>
      <c r="S40" s="1506">
        <f t="shared" si="12"/>
        <v>100</v>
      </c>
      <c r="T40" s="1505" t="s">
        <v>8</v>
      </c>
      <c r="U40" s="1506">
        <f t="shared" si="13"/>
        <v>100</v>
      </c>
      <c r="V40" s="1505" t="s">
        <v>8</v>
      </c>
      <c r="W40" s="1506">
        <f t="shared" si="14"/>
        <v>100</v>
      </c>
      <c r="X40" s="1499"/>
      <c r="Y40" s="3519"/>
      <c r="Z40" s="1507" t="str">
        <f t="shared" si="15"/>
        <v>单套建筑面积</v>
      </c>
      <c r="AA40" s="1508">
        <f t="shared" si="3"/>
        <v>1</v>
      </c>
      <c r="AB40" s="1508">
        <f t="shared" si="4"/>
        <v>1</v>
      </c>
      <c r="AC40" s="1508">
        <f t="shared" si="5"/>
        <v>1</v>
      </c>
    </row>
    <row r="41" spans="1:29" s="1291" customFormat="1" ht="15">
      <c r="A41" s="597"/>
      <c r="B41" s="891" t="s">
        <v>763</v>
      </c>
      <c r="C41" s="577" t="s">
        <v>3129</v>
      </c>
      <c r="D41" s="534">
        <v>100</v>
      </c>
      <c r="E41" s="577" t="s">
        <v>3129</v>
      </c>
      <c r="F41" s="569">
        <f>SUMIF(120:120,E41,121:121)-SUMIF(120:120,C41,121:121)+100</f>
        <v>100</v>
      </c>
      <c r="G41" s="577" t="s">
        <v>3129</v>
      </c>
      <c r="H41" s="534">
        <f>SUMIF(120:120,G41,121:121)-SUMIF(120:120,C41,121:121)+100</f>
        <v>100</v>
      </c>
      <c r="I41" s="577" t="s">
        <v>3129</v>
      </c>
      <c r="J41" s="534">
        <f>SUMIF(120:120,I41,121:121)-SUMIF(120:120,C41,121:121)+100</f>
        <v>100</v>
      </c>
      <c r="K41" s="578">
        <v>1</v>
      </c>
      <c r="L41" s="2020"/>
      <c r="M41" s="2050"/>
      <c r="N41" s="2050"/>
      <c r="O41" s="2023"/>
      <c r="P41" s="3519"/>
      <c r="Q41" s="1533" t="str">
        <f t="shared" si="11"/>
        <v>进深比</v>
      </c>
      <c r="R41" s="1509" t="s">
        <v>8</v>
      </c>
      <c r="S41" s="1510">
        <f t="shared" si="12"/>
        <v>100</v>
      </c>
      <c r="T41" s="1509" t="s">
        <v>8</v>
      </c>
      <c r="U41" s="1510">
        <f t="shared" si="13"/>
        <v>100</v>
      </c>
      <c r="V41" s="1509" t="s">
        <v>8</v>
      </c>
      <c r="W41" s="1510">
        <f t="shared" si="14"/>
        <v>100</v>
      </c>
      <c r="X41" s="1511"/>
      <c r="Y41" s="3519"/>
      <c r="Z41" s="1512" t="str">
        <f t="shared" si="15"/>
        <v>进深比</v>
      </c>
      <c r="AA41" s="1508">
        <f t="shared" si="3"/>
        <v>1</v>
      </c>
      <c r="AB41" s="1508">
        <f t="shared" si="4"/>
        <v>1</v>
      </c>
      <c r="AC41" s="1508">
        <f t="shared" si="5"/>
        <v>1</v>
      </c>
    </row>
    <row r="42" spans="1:29" ht="15">
      <c r="A42" s="588"/>
      <c r="B42" s="521" t="s">
        <v>764</v>
      </c>
      <c r="C42" s="593" t="s">
        <v>3099</v>
      </c>
      <c r="D42" s="534">
        <v>100</v>
      </c>
      <c r="E42" s="593" t="s">
        <v>3095</v>
      </c>
      <c r="F42" s="569">
        <f>SUMIF(122:122,E42,123:123)-SUMIF(122:122,C42,123:123)+100</f>
        <v>106</v>
      </c>
      <c r="G42" s="593" t="s">
        <v>3095</v>
      </c>
      <c r="H42" s="534">
        <f>SUMIF(122:122,G42,123:123)-SUMIF(122:122,C42,123:123)+100</f>
        <v>106</v>
      </c>
      <c r="I42" s="593" t="s">
        <v>3095</v>
      </c>
      <c r="J42" s="534">
        <f>SUMIF(122:122,I42,123:123)-SUMIF(122:122,C42,123:123)+100</f>
        <v>106</v>
      </c>
      <c r="K42" s="578">
        <v>2</v>
      </c>
      <c r="L42" s="2022"/>
      <c r="M42" s="2014"/>
      <c r="N42" s="2014"/>
      <c r="O42" s="2021"/>
      <c r="P42" s="3519"/>
      <c r="Q42" s="1504" t="str">
        <f t="shared" si="11"/>
        <v>内部装修</v>
      </c>
      <c r="R42" s="1505" t="s">
        <v>8</v>
      </c>
      <c r="S42" s="1506">
        <f t="shared" si="12"/>
        <v>106</v>
      </c>
      <c r="T42" s="1505" t="s">
        <v>8</v>
      </c>
      <c r="U42" s="1506">
        <f t="shared" si="13"/>
        <v>106</v>
      </c>
      <c r="V42" s="1505" t="s">
        <v>8</v>
      </c>
      <c r="W42" s="1506">
        <f t="shared" si="14"/>
        <v>106</v>
      </c>
      <c r="X42" s="1499"/>
      <c r="Y42" s="3519"/>
      <c r="Z42" s="1507" t="str">
        <f t="shared" si="15"/>
        <v>内部装修</v>
      </c>
      <c r="AA42" s="1508">
        <f t="shared" si="3"/>
        <v>0.94339622641509435</v>
      </c>
      <c r="AB42" s="1508">
        <f t="shared" si="4"/>
        <v>0.94339622641509435</v>
      </c>
      <c r="AC42" s="1508">
        <f t="shared" si="5"/>
        <v>0.94339622641509435</v>
      </c>
    </row>
    <row r="43" spans="1:29" ht="27">
      <c r="A43" s="588"/>
      <c r="B43" s="521" t="s">
        <v>729</v>
      </c>
      <c r="C43" s="593" t="s">
        <v>3081</v>
      </c>
      <c r="D43" s="534">
        <v>100</v>
      </c>
      <c r="E43" s="593" t="s">
        <v>3081</v>
      </c>
      <c r="F43" s="569">
        <f>SUMIF(124:124,E43,125:125)-SUMIF(124:124,C43,125:125)+100</f>
        <v>100</v>
      </c>
      <c r="G43" s="593" t="s">
        <v>3081</v>
      </c>
      <c r="H43" s="534">
        <f>SUMIF(124:124,G43,125:125)-SUMIF(124:124,C43,125:125)+100</f>
        <v>100</v>
      </c>
      <c r="I43" s="593" t="s">
        <v>3081</v>
      </c>
      <c r="J43" s="534">
        <f>SUMIF(124:124,I43,125:125)-SUMIF(124:124,C43,125:125)+100</f>
        <v>100</v>
      </c>
      <c r="K43" s="578">
        <v>2</v>
      </c>
      <c r="L43" s="2022"/>
      <c r="M43" s="2014"/>
      <c r="N43" s="2014"/>
      <c r="O43" s="2021"/>
      <c r="P43" s="3519"/>
      <c r="Q43" s="1504" t="str">
        <f t="shared" si="11"/>
        <v>内部装修维护情况</v>
      </c>
      <c r="R43" s="1505" t="s">
        <v>8</v>
      </c>
      <c r="S43" s="1506">
        <f t="shared" si="12"/>
        <v>100</v>
      </c>
      <c r="T43" s="1505" t="s">
        <v>8</v>
      </c>
      <c r="U43" s="1506">
        <f t="shared" si="13"/>
        <v>100</v>
      </c>
      <c r="V43" s="1505" t="s">
        <v>8</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519"/>
      <c r="Q44" s="1132">
        <f t="shared" si="11"/>
        <v>111</v>
      </c>
      <c r="R44" s="1500" t="s">
        <v>8</v>
      </c>
      <c r="S44" s="1501">
        <f t="shared" si="12"/>
        <v>100</v>
      </c>
      <c r="T44" s="1500" t="s">
        <v>8</v>
      </c>
      <c r="U44" s="1501">
        <f t="shared" si="13"/>
        <v>100</v>
      </c>
      <c r="V44" s="1500" t="s">
        <v>8</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519"/>
      <c r="Q45" s="1504">
        <f t="shared" si="11"/>
        <v>111</v>
      </c>
      <c r="R45" s="1505" t="s">
        <v>8</v>
      </c>
      <c r="S45" s="1506">
        <f t="shared" si="12"/>
        <v>100</v>
      </c>
      <c r="T45" s="1505" t="s">
        <v>8</v>
      </c>
      <c r="U45" s="1506">
        <f t="shared" si="13"/>
        <v>100</v>
      </c>
      <c r="V45" s="1505" t="s">
        <v>8</v>
      </c>
      <c r="W45" s="1506">
        <f t="shared" si="14"/>
        <v>100</v>
      </c>
      <c r="X45" s="1499"/>
      <c r="Y45" s="3519"/>
      <c r="Z45" s="1507">
        <f t="shared" si="15"/>
        <v>111</v>
      </c>
      <c r="AA45" s="1508">
        <f t="shared" si="3"/>
        <v>1</v>
      </c>
      <c r="AB45" s="1508">
        <f t="shared" si="4"/>
        <v>1</v>
      </c>
      <c r="AC45" s="1508">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601"/>
      <c r="Q46" s="1504">
        <f t="shared" si="11"/>
        <v>111</v>
      </c>
      <c r="R46" s="1505" t="s">
        <v>8</v>
      </c>
      <c r="S46" s="1506">
        <f t="shared" si="12"/>
        <v>100</v>
      </c>
      <c r="T46" s="1505" t="s">
        <v>8</v>
      </c>
      <c r="U46" s="1506">
        <f t="shared" si="13"/>
        <v>100</v>
      </c>
      <c r="V46" s="1505" t="s">
        <v>8</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1</v>
      </c>
      <c r="D47" s="2469"/>
      <c r="E47" s="2470">
        <v>12300</v>
      </c>
      <c r="F47" s="2471"/>
      <c r="G47" s="2472">
        <v>14000</v>
      </c>
      <c r="H47" s="2473"/>
      <c r="I47" s="2470">
        <v>11900</v>
      </c>
      <c r="J47" s="2473"/>
      <c r="K47" s="1538"/>
      <c r="L47" s="2024"/>
      <c r="M47" s="2025"/>
      <c r="N47" s="2014"/>
      <c r="O47" s="2025"/>
      <c r="P47" s="3482" t="str">
        <f>A47</f>
        <v>成交单价（元/平方米）</v>
      </c>
      <c r="Q47" s="3482"/>
      <c r="R47" s="3602">
        <f>E47</f>
        <v>12300</v>
      </c>
      <c r="S47" s="3602"/>
      <c r="T47" s="3602">
        <f>G47</f>
        <v>14000</v>
      </c>
      <c r="U47" s="3602"/>
      <c r="V47" s="3602">
        <f>I47</f>
        <v>11900</v>
      </c>
      <c r="W47" s="3602"/>
      <c r="X47" s="1494"/>
      <c r="Y47" s="1513"/>
      <c r="Z47" s="1494"/>
      <c r="AA47" s="1494"/>
      <c r="AB47" s="1494"/>
      <c r="AC47" s="1494"/>
    </row>
    <row r="48" spans="1:29" ht="15.75" thickBot="1">
      <c r="A48" s="609" t="s">
        <v>2740</v>
      </c>
      <c r="B48" s="876"/>
      <c r="C48" s="2474">
        <f>R49</f>
        <v>11408</v>
      </c>
      <c r="D48" s="3010" t="s">
        <v>2960</v>
      </c>
      <c r="E48" s="2475">
        <f>R48</f>
        <v>10998</v>
      </c>
      <c r="F48" s="3011"/>
      <c r="G48" s="2474">
        <f>T48</f>
        <v>12640</v>
      </c>
      <c r="H48" s="3011"/>
      <c r="I48" s="2475">
        <f>V48</f>
        <v>10586</v>
      </c>
      <c r="J48" s="3011"/>
      <c r="K48" s="3019">
        <f>F48+H48+J48</f>
        <v>0</v>
      </c>
      <c r="L48" s="2024"/>
      <c r="M48" s="2025"/>
      <c r="N48" s="2014"/>
      <c r="O48" s="2025"/>
      <c r="P48" s="3482" t="str">
        <f>A48</f>
        <v>比较价格（元/平方米）</v>
      </c>
      <c r="Q48" s="3482"/>
      <c r="R48" s="3602">
        <f>IF(F1="售价",ROUND(PRODUCT(R47,AA7:AA46),0),ROUND(PRODUCT(R47,AA7:AA46),1))</f>
        <v>10998</v>
      </c>
      <c r="S48" s="3602"/>
      <c r="T48" s="3602">
        <f>IF(F1="售价",ROUND(PRODUCT(T47,AB7:AB46),0),ROUND(PRODUCT(T47,AB7:AB46),1))</f>
        <v>12640</v>
      </c>
      <c r="U48" s="3602"/>
      <c r="V48" s="3602">
        <f>IF(F1="售价",ROUND(PRODUCT(V47,AC7:AC46),0),ROUND(PRODUCT(V47,AC7:AC46),1))</f>
        <v>10586</v>
      </c>
      <c r="W48" s="3602"/>
      <c r="X48" s="1494"/>
      <c r="Y48" s="1494"/>
      <c r="Z48" s="1494"/>
      <c r="AA48" s="1494"/>
      <c r="AB48" s="1494"/>
      <c r="AC48" s="1494"/>
    </row>
    <row r="49" spans="1:29" ht="15.75" thickBot="1">
      <c r="A49" s="613" t="s">
        <v>2892</v>
      </c>
      <c r="B49" s="614"/>
      <c r="C49" s="2476">
        <f>R49</f>
        <v>11408</v>
      </c>
      <c r="D49" s="2476"/>
      <c r="E49" s="2476"/>
      <c r="F49" s="2476"/>
      <c r="G49" s="2476"/>
      <c r="H49" s="2476"/>
      <c r="I49" s="2476"/>
      <c r="J49" s="2476"/>
      <c r="K49" s="1539"/>
      <c r="L49" s="2024"/>
      <c r="M49" s="2025"/>
      <c r="N49" s="2014"/>
      <c r="O49" s="2025"/>
      <c r="P49" s="3479" t="str">
        <f>A49</f>
        <v>估价对象XX用房的比较价格（楼面单价，元/平方米）</v>
      </c>
      <c r="Q49" s="3480"/>
      <c r="R49" s="3603">
        <f>IF(F1="售价",ROUND(IF(D48="简单平均",AVERAGE(R48:V48),R48*F48+T48*H48+V48*J48),0),ROUND(IF(D48="简单平均",AVERAGE(R48:V48),R48*F48+T48*H48+V48*J48),1))</f>
        <v>11408</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0.11838516093835239</v>
      </c>
      <c r="F52" s="619" t="str">
        <f>IF(OR(E52&gt;=0.3,E52&lt;=-0.3),"超过30%","")</f>
        <v/>
      </c>
      <c r="G52" s="618">
        <f>IF(G47&lt;G48,G48/G47-1,G47/G48-1)</f>
        <v>0.10759493670886067</v>
      </c>
      <c r="H52" s="619" t="str">
        <f>IF(OR(G52&gt;=0.3,G52&lt;=-0.3),"超过30%","")</f>
        <v/>
      </c>
      <c r="I52" s="618">
        <f>IF(I47&lt;I48,I48/I47-1,I47/I48-1)</f>
        <v>0.12412620442093325</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0.14929987270412792</v>
      </c>
      <c r="F53" s="619" t="str">
        <f>IF(OR(E53&gt;=0.2,E53&lt;=-0.2),"超过20%","")</f>
        <v/>
      </c>
      <c r="G53" s="618">
        <f>IF(G48&lt;I48,I48/G48-1,G48/I48-1)</f>
        <v>0.19402985074626855</v>
      </c>
      <c r="H53" s="619" t="str">
        <f>IF(OR(G53&gt;=0.2,G53&lt;=-0.2),"超过20%","")</f>
        <v/>
      </c>
      <c r="I53" s="618">
        <f>IF(I48&lt;E48,E48/I48-1,I48/E48-1)</f>
        <v>3.8919327413565075E-2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0.13821138211382111</v>
      </c>
      <c r="F54" s="619" t="str">
        <f>IF(OR(E54&gt;=0.3,E54&lt;=-0.3),"超过30%","")</f>
        <v/>
      </c>
      <c r="G54" s="618">
        <f>IF(G47&lt;I47,I47/G47-1,G47/I47-1)</f>
        <v>0.17647058823529416</v>
      </c>
      <c r="H54" s="619" t="str">
        <f>IF(OR(G54&gt;=0.3,G54&lt;=-0.3),"超过30%","")</f>
        <v/>
      </c>
      <c r="I54" s="618">
        <f>IF(I47&lt;E47,E47/I47-1,I47/E47-1)</f>
        <v>3.3613445378151363E-2</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f>C59-0.5</f>
        <v>99.5</v>
      </c>
      <c r="E59" s="642">
        <f t="shared" ref="E59:G59" si="17">D59-0.5</f>
        <v>99</v>
      </c>
      <c r="F59" s="642">
        <f t="shared" si="17"/>
        <v>98.5</v>
      </c>
      <c r="G59" s="642">
        <f t="shared" si="17"/>
        <v>98</v>
      </c>
      <c r="H59" s="642"/>
      <c r="I59" s="642"/>
      <c r="J59" s="642"/>
      <c r="K59" s="642"/>
      <c r="L59" s="642"/>
      <c r="M59" s="643"/>
      <c r="N59" s="642"/>
      <c r="O59" s="644"/>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3300" t="s">
        <v>3144</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v>1</v>
      </c>
      <c r="E68" s="535">
        <v>2</v>
      </c>
      <c r="F68" s="535">
        <v>3</v>
      </c>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98</v>
      </c>
      <c r="E77" s="671">
        <f>D77-$K15</f>
        <v>96</v>
      </c>
      <c r="F77" s="671">
        <f>E77-$K15</f>
        <v>94</v>
      </c>
      <c r="G77" s="671">
        <f>F77-$K15</f>
        <v>92</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665" t="s">
        <v>765</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tr">
        <f>B26</f>
        <v>平面位置/可视性</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人流量</v>
      </c>
      <c r="C90" s="3297" t="s">
        <v>3162</v>
      </c>
      <c r="D90" s="3297" t="s">
        <v>3163</v>
      </c>
      <c r="E90" s="3297" t="s">
        <v>3133</v>
      </c>
      <c r="F90" s="3297" t="s">
        <v>3134</v>
      </c>
      <c r="G90" s="3297" t="s">
        <v>3135</v>
      </c>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704">
        <v>100</v>
      </c>
      <c r="D91" s="671">
        <f>C91-$K27</f>
        <v>98</v>
      </c>
      <c r="E91" s="671">
        <f t="shared" ref="E91:M91" si="21">D91-$K27</f>
        <v>96</v>
      </c>
      <c r="F91" s="671">
        <f t="shared" si="21"/>
        <v>94</v>
      </c>
      <c r="G91" s="671">
        <f t="shared" si="21"/>
        <v>92</v>
      </c>
      <c r="H91" s="671">
        <f t="shared" si="21"/>
        <v>90</v>
      </c>
      <c r="I91" s="671">
        <f t="shared" si="21"/>
        <v>88</v>
      </c>
      <c r="J91" s="671">
        <f t="shared" si="21"/>
        <v>86</v>
      </c>
      <c r="K91" s="671">
        <f t="shared" si="21"/>
        <v>84</v>
      </c>
      <c r="L91" s="671">
        <f t="shared" si="21"/>
        <v>82</v>
      </c>
      <c r="M91" s="671">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61"/>
      <c r="B92" s="665" t="str">
        <f>B28</f>
        <v>楼层</v>
      </c>
      <c r="C92" s="680" t="s">
        <v>3160</v>
      </c>
      <c r="D92" s="680"/>
      <c r="E92" s="680"/>
      <c r="F92" s="680"/>
      <c r="G92" s="680"/>
      <c r="H92" s="680"/>
      <c r="I92" s="680"/>
      <c r="J92" s="680"/>
      <c r="K92" s="680"/>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63">
        <v>100</v>
      </c>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766</v>
      </c>
      <c r="C100" s="3296" t="s">
        <v>3147</v>
      </c>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0(含)-500</v>
      </c>
      <c r="D102" s="700" t="str">
        <f t="shared" ref="D102:L102" si="23">D103&amp;"(含)"&amp;"-"&amp;E103</f>
        <v>500(含)-1000</v>
      </c>
      <c r="E102" s="700" t="str">
        <f t="shared" si="23"/>
        <v>1000(含)-1500</v>
      </c>
      <c r="F102" s="700" t="str">
        <f t="shared" si="23"/>
        <v>1500(含)-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500</v>
      </c>
      <c r="E103" s="722">
        <v>1000</v>
      </c>
      <c r="F103" s="722">
        <v>1500</v>
      </c>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99</v>
      </c>
      <c r="E104" s="663">
        <f t="shared" ref="E104:F104" si="24">D104-1</f>
        <v>98</v>
      </c>
      <c r="F104" s="663">
        <f t="shared" si="24"/>
        <v>97</v>
      </c>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3148</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2">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297" t="s">
        <v>3149</v>
      </c>
      <c r="D107" s="680"/>
      <c r="E107" s="68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2">
        <f t="shared" si="26"/>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2">
        <v>0.5</v>
      </c>
      <c r="D110" s="882">
        <v>0.6</v>
      </c>
      <c r="E110" s="882">
        <v>0.7</v>
      </c>
      <c r="F110" s="882">
        <v>0.8</v>
      </c>
      <c r="G110" s="882">
        <v>0.9</v>
      </c>
      <c r="H110" s="882">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704">
        <v>100</v>
      </c>
      <c r="D111" s="671">
        <f>C111+$K36</f>
        <v>102</v>
      </c>
      <c r="E111" s="671">
        <f t="shared" ref="E111:M111" si="27">D111+$K36</f>
        <v>104</v>
      </c>
      <c r="F111" s="671">
        <f t="shared" si="27"/>
        <v>106</v>
      </c>
      <c r="G111" s="671">
        <f t="shared" si="27"/>
        <v>108</v>
      </c>
      <c r="H111" s="671">
        <f t="shared" si="27"/>
        <v>110</v>
      </c>
      <c r="I111" s="671">
        <f t="shared" si="27"/>
        <v>112</v>
      </c>
      <c r="J111" s="671">
        <f t="shared" si="27"/>
        <v>114</v>
      </c>
      <c r="K111" s="671">
        <f t="shared" si="27"/>
        <v>116</v>
      </c>
      <c r="L111" s="671">
        <f t="shared" si="27"/>
        <v>118</v>
      </c>
      <c r="M111" s="671">
        <f t="shared" si="27"/>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2537</v>
      </c>
      <c r="C112" s="3297" t="s">
        <v>3136</v>
      </c>
      <c r="D112" s="3297" t="s">
        <v>3150</v>
      </c>
      <c r="E112" s="3297" t="s">
        <v>3138</v>
      </c>
      <c r="F112" s="3297" t="s">
        <v>3151</v>
      </c>
      <c r="G112" s="680"/>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671">
        <v>100</v>
      </c>
      <c r="D113" s="671">
        <f>C113-$K37</f>
        <v>98</v>
      </c>
      <c r="E113" s="671">
        <f t="shared" ref="E113:M113" si="28">D113-$K37</f>
        <v>96</v>
      </c>
      <c r="F113" s="671">
        <f t="shared" si="28"/>
        <v>94</v>
      </c>
      <c r="G113" s="671">
        <f t="shared" si="28"/>
        <v>92</v>
      </c>
      <c r="H113" s="671">
        <f t="shared" si="28"/>
        <v>90</v>
      </c>
      <c r="I113" s="671">
        <f t="shared" si="28"/>
        <v>88</v>
      </c>
      <c r="J113" s="671">
        <f t="shared" si="28"/>
        <v>86</v>
      </c>
      <c r="K113" s="671">
        <f t="shared" si="28"/>
        <v>84</v>
      </c>
      <c r="L113" s="671">
        <f t="shared" si="28"/>
        <v>82</v>
      </c>
      <c r="M113" s="671">
        <f t="shared" si="28"/>
        <v>80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3297" t="s">
        <v>3153</v>
      </c>
      <c r="D114" s="3297" t="s">
        <v>3154</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2">
        <f t="shared" si="29"/>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3297" t="s">
        <v>3156</v>
      </c>
      <c r="D116" s="3297" t="s">
        <v>3155</v>
      </c>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6"/>
      <c r="D118" s="896"/>
      <c r="E118" s="896"/>
      <c r="F118" s="896"/>
      <c r="G118" s="896"/>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3298" t="s">
        <v>3130</v>
      </c>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704">
        <v>100</v>
      </c>
      <c r="D121" s="671">
        <f>C121-$K41</f>
        <v>99</v>
      </c>
      <c r="E121" s="671">
        <f t="shared" ref="E121:M121" si="30">D121-$K41</f>
        <v>98</v>
      </c>
      <c r="F121" s="671">
        <f t="shared" si="30"/>
        <v>97</v>
      </c>
      <c r="G121" s="671">
        <f t="shared" si="30"/>
        <v>96</v>
      </c>
      <c r="H121" s="671">
        <f t="shared" si="30"/>
        <v>95</v>
      </c>
      <c r="I121" s="671">
        <f t="shared" si="30"/>
        <v>94</v>
      </c>
      <c r="J121" s="671">
        <f t="shared" si="30"/>
        <v>93</v>
      </c>
      <c r="K121" s="671">
        <f t="shared" si="30"/>
        <v>92</v>
      </c>
      <c r="L121" s="671">
        <f t="shared" si="30"/>
        <v>91</v>
      </c>
      <c r="M121" s="672">
        <f t="shared" si="30"/>
        <v>90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3149</v>
      </c>
      <c r="D122" s="3297" t="s">
        <v>3157</v>
      </c>
      <c r="E122" s="3297" t="s">
        <v>3158</v>
      </c>
      <c r="F122" s="3298" t="s">
        <v>3159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2">
        <f t="shared" si="31"/>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c r="E1" s="500"/>
      <c r="F1" s="2522"/>
      <c r="G1" s="1529" t="s">
        <v>715</v>
      </c>
      <c r="H1" s="500"/>
      <c r="I1" s="500"/>
      <c r="J1" s="500"/>
      <c r="K1" s="501"/>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7" t="s">
        <v>461</v>
      </c>
      <c r="B2" s="839"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3" t="s">
        <v>513</v>
      </c>
      <c r="B3" s="504" t="e">
        <f>C50</f>
        <v>#DIV/0!</v>
      </c>
      <c r="C3" s="841" t="s">
        <v>716</v>
      </c>
      <c r="D3" s="840">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6" t="s">
        <v>515</v>
      </c>
      <c r="B4" s="507"/>
      <c r="C4" s="3488" t="s">
        <v>516</v>
      </c>
      <c r="D4" s="3489"/>
      <c r="E4" s="3522" t="s">
        <v>517</v>
      </c>
      <c r="F4" s="3523"/>
      <c r="G4" s="3488" t="s">
        <v>518</v>
      </c>
      <c r="H4" s="3489"/>
      <c r="I4" s="3488" t="s">
        <v>519</v>
      </c>
      <c r="J4" s="3489"/>
      <c r="K4" s="508" t="s">
        <v>520</v>
      </c>
      <c r="L4" s="2013"/>
      <c r="M4" s="2014"/>
      <c r="N4" s="2014"/>
      <c r="O4" s="2014"/>
      <c r="P4" s="3605" t="s">
        <v>521</v>
      </c>
      <c r="Q4" s="3491"/>
      <c r="R4" s="3496" t="s">
        <v>517</v>
      </c>
      <c r="S4" s="3497"/>
      <c r="T4" s="3496" t="s">
        <v>518</v>
      </c>
      <c r="U4" s="3497"/>
      <c r="V4" s="3483" t="s">
        <v>519</v>
      </c>
      <c r="W4" s="3483"/>
      <c r="X4" s="1499"/>
      <c r="Y4" s="3496" t="s">
        <v>521</v>
      </c>
      <c r="Z4" s="3497"/>
      <c r="AA4" s="3485" t="s">
        <v>517</v>
      </c>
      <c r="AB4" s="3485" t="s">
        <v>518</v>
      </c>
      <c r="AC4" s="3485" t="s">
        <v>519</v>
      </c>
    </row>
    <row r="5" spans="1:29" ht="15">
      <c r="A5" s="509"/>
      <c r="B5" s="510"/>
      <c r="C5" s="3504" t="s">
        <v>2886</v>
      </c>
      <c r="D5" s="3505"/>
      <c r="E5" s="3524" t="s">
        <v>2887</v>
      </c>
      <c r="F5" s="3525"/>
      <c r="G5" s="3504" t="s">
        <v>2888</v>
      </c>
      <c r="H5" s="3505"/>
      <c r="I5" s="3504" t="s">
        <v>2889</v>
      </c>
      <c r="J5" s="3505"/>
      <c r="K5" s="508"/>
      <c r="L5" s="2013"/>
      <c r="M5" s="2014"/>
      <c r="N5" s="2014"/>
      <c r="O5" s="2014"/>
      <c r="P5" s="3606"/>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607"/>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SUMIF(59:59,YEAR(E7)&amp;"-"&amp;MONTH(E7),60:60)</f>
        <v>0</v>
      </c>
      <c r="G7" s="515"/>
      <c r="H7" s="514">
        <f>SUMIF(59:59,YEAR(G7)&amp;"-"&amp;MONTH(G7),60:60)</f>
        <v>0</v>
      </c>
      <c r="I7" s="515"/>
      <c r="J7" s="514">
        <f>SUMIF(59:59,YEAR(I7)&amp;"-"&amp;MONTH(I7),60:60)</f>
        <v>0</v>
      </c>
      <c r="K7" s="518"/>
      <c r="L7" s="2015"/>
      <c r="M7" s="2016"/>
      <c r="N7" s="2016"/>
      <c r="O7" s="2016"/>
      <c r="P7" s="3515"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5"/>
      <c r="M8" s="2016"/>
      <c r="N8" s="2016"/>
      <c r="O8" s="2016"/>
      <c r="P8" s="3515" t="s">
        <v>527</v>
      </c>
      <c r="Q8" s="3514"/>
      <c r="R8" s="1500" t="s">
        <v>8</v>
      </c>
      <c r="S8" s="1501">
        <f t="shared" si="0"/>
        <v>0</v>
      </c>
      <c r="T8" s="1500" t="s">
        <v>8</v>
      </c>
      <c r="U8" s="1501">
        <f t="shared" si="1"/>
        <v>0</v>
      </c>
      <c r="V8" s="1500" t="s">
        <v>8</v>
      </c>
      <c r="W8" s="1501">
        <f t="shared" si="2"/>
        <v>0</v>
      </c>
      <c r="X8" s="1502"/>
      <c r="Y8" s="3513" t="s">
        <v>527</v>
      </c>
      <c r="Z8" s="3514"/>
      <c r="AA8" s="1503" t="e">
        <f t="shared" ref="AA8:AA47" si="3">D8/F8</f>
        <v>#DIV/0!</v>
      </c>
      <c r="AB8" s="1503" t="e">
        <f t="shared" ref="AB8:AB47" si="4">D8/H8</f>
        <v>#DIV/0!</v>
      </c>
      <c r="AC8" s="1503" t="e">
        <f t="shared" ref="AC8:AC47" si="5">D8/J8</f>
        <v>#DIV/0!</v>
      </c>
    </row>
    <row r="9" spans="1:29" s="1201" customFormat="1" ht="15">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5"/>
      <c r="M9" s="2016"/>
      <c r="N9" s="2016"/>
      <c r="O9" s="2016"/>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18"/>
      <c r="M10" s="2057"/>
      <c r="N10" s="2057"/>
      <c r="O10" s="2057"/>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0"/>
      <c r="M11" s="2014"/>
      <c r="N11" s="2014"/>
      <c r="O11" s="2014"/>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253">
        <f>SUMIF(71:71,E12,72:72)-SUMIF(71:71,C12,72:72)+100</f>
        <v>100</v>
      </c>
      <c r="G12" s="897"/>
      <c r="H12" s="253">
        <f>SUMIF(71:71,G12,72:72)-SUMIF(71:71,C12,72:72)+100</f>
        <v>100</v>
      </c>
      <c r="I12" s="522"/>
      <c r="J12" s="253">
        <f>SUMIF(71:71,I12,72:72)-SUMIF(71:71,C12,72:72)+100</f>
        <v>100</v>
      </c>
      <c r="K12" s="575"/>
      <c r="L12" s="2015"/>
      <c r="M12" s="2016"/>
      <c r="N12" s="2016"/>
      <c r="O12" s="2016"/>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22"/>
      <c r="F13" s="253">
        <f>SUMIF(73:73,E13,74:74)-SUMIF(73:73,C13,74:74)+100</f>
        <v>100</v>
      </c>
      <c r="G13" s="897"/>
      <c r="H13" s="534">
        <f>SUMIF(73:73,G13,74:74)-SUMIF(73:73,C13,74:74)+100</f>
        <v>100</v>
      </c>
      <c r="I13" s="522"/>
      <c r="J13" s="534">
        <f>SUMIF(73:73,I13,74:74)-SUMIF(73:73,C13,74:74)+100</f>
        <v>100</v>
      </c>
      <c r="K13" s="575"/>
      <c r="L13" s="2022"/>
      <c r="M13" s="2014"/>
      <c r="N13" s="2014"/>
      <c r="O13" s="2014"/>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898"/>
      <c r="F14" s="540">
        <f>SUMIF(75:75,E14,76:76)-SUMIF(75:75,C14,76:76)+100</f>
        <v>100</v>
      </c>
      <c r="G14" s="897"/>
      <c r="H14" s="540">
        <f>SUMIF(75:75,G14,76:76)-SUMIF(75:75,C14,76:76)+100</f>
        <v>100</v>
      </c>
      <c r="I14" s="522"/>
      <c r="J14" s="540">
        <f>SUMIF(75:75,I14,76:76)-SUMIF(75:75,C14,76:76)+100</f>
        <v>100</v>
      </c>
      <c r="K14" s="575"/>
      <c r="L14" s="2022"/>
      <c r="M14" s="2014"/>
      <c r="N14" s="2014"/>
      <c r="O14" s="2014"/>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71.25">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2"/>
      <c r="M15" s="2014"/>
      <c r="N15" s="2014"/>
      <c r="O15" s="2014"/>
      <c r="P15" s="3516" t="s">
        <v>534</v>
      </c>
      <c r="Q15" s="1504" t="str">
        <f t="shared" si="6"/>
        <v>办公集聚程度</v>
      </c>
      <c r="R15" s="1505" t="s">
        <v>8</v>
      </c>
      <c r="S15" s="1506">
        <f t="shared" si="0"/>
        <v>100</v>
      </c>
      <c r="T15" s="1505" t="s">
        <v>8</v>
      </c>
      <c r="U15" s="1506">
        <f t="shared" si="1"/>
        <v>100</v>
      </c>
      <c r="V15" s="1505" t="s">
        <v>8</v>
      </c>
      <c r="W15" s="1506">
        <f t="shared" si="2"/>
        <v>100</v>
      </c>
      <c r="X15" s="1499"/>
      <c r="Y15" s="3516" t="s">
        <v>534</v>
      </c>
      <c r="Z15" s="1507" t="str">
        <f t="shared" si="7"/>
        <v>办公集聚程度</v>
      </c>
      <c r="AA15" s="1508">
        <f t="shared" si="3"/>
        <v>1</v>
      </c>
      <c r="AB15" s="1508">
        <f t="shared" si="4"/>
        <v>1</v>
      </c>
      <c r="AC15" s="1508">
        <f t="shared" si="5"/>
        <v>1</v>
      </c>
    </row>
    <row r="16" spans="1:29" ht="15">
      <c r="A16" s="526"/>
      <c r="B16" s="547"/>
      <c r="C16" s="548"/>
      <c r="D16" s="549"/>
      <c r="E16" s="570"/>
      <c r="F16" s="549"/>
      <c r="G16" s="548"/>
      <c r="H16" s="553"/>
      <c r="I16" s="570"/>
      <c r="J16" s="549"/>
      <c r="K16" s="887"/>
      <c r="L16" s="2022"/>
      <c r="M16" s="2014"/>
      <c r="N16" s="2014"/>
      <c r="O16" s="2014"/>
      <c r="P16" s="3517"/>
      <c r="Q16" s="1504"/>
      <c r="R16" s="1505"/>
      <c r="S16" s="1506"/>
      <c r="T16" s="1505"/>
      <c r="U16" s="1506"/>
      <c r="V16" s="1505"/>
      <c r="W16" s="1506"/>
      <c r="X16" s="1499"/>
      <c r="Y16" s="3517"/>
      <c r="Z16" s="1507"/>
      <c r="AA16" s="1508">
        <v>1</v>
      </c>
      <c r="AB16" s="1508">
        <v>1</v>
      </c>
      <c r="AC16" s="1508">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2"/>
      <c r="M17" s="2014"/>
      <c r="N17" s="2014"/>
      <c r="O17" s="2014"/>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60"/>
      <c r="C18" s="561"/>
      <c r="D18" s="553"/>
      <c r="E18" s="563"/>
      <c r="F18" s="553"/>
      <c r="G18" s="562"/>
      <c r="H18" s="549"/>
      <c r="I18" s="562"/>
      <c r="J18" s="549"/>
      <c r="K18" s="887"/>
      <c r="L18" s="2022"/>
      <c r="M18" s="2014"/>
      <c r="N18" s="2014"/>
      <c r="O18" s="2014"/>
      <c r="P18" s="3517"/>
      <c r="Q18" s="1504"/>
      <c r="R18" s="1505"/>
      <c r="S18" s="1506"/>
      <c r="T18" s="1505"/>
      <c r="U18" s="1506"/>
      <c r="V18" s="1505"/>
      <c r="W18" s="1506"/>
      <c r="X18" s="1499"/>
      <c r="Y18" s="3517"/>
      <c r="Z18" s="1507"/>
      <c r="AA18" s="1508">
        <v>1</v>
      </c>
      <c r="AB18" s="1508">
        <v>1</v>
      </c>
      <c r="AC18" s="1508">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2"/>
      <c r="M19" s="2014"/>
      <c r="N19" s="2014"/>
      <c r="O19" s="2014"/>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48"/>
      <c r="D20" s="549"/>
      <c r="E20" s="552"/>
      <c r="F20" s="549"/>
      <c r="G20" s="550"/>
      <c r="H20" s="549"/>
      <c r="I20" s="550"/>
      <c r="J20" s="549"/>
      <c r="K20" s="887"/>
      <c r="L20" s="2022"/>
      <c r="M20" s="2014"/>
      <c r="N20" s="2014"/>
      <c r="O20" s="2014"/>
      <c r="P20" s="3517"/>
      <c r="Q20" s="1504"/>
      <c r="R20" s="1505"/>
      <c r="S20" s="1506"/>
      <c r="T20" s="1505"/>
      <c r="U20" s="1506"/>
      <c r="V20" s="1505"/>
      <c r="W20" s="1506"/>
      <c r="X20" s="1499"/>
      <c r="Y20" s="3517"/>
      <c r="Z20" s="1507"/>
      <c r="AA20" s="1508">
        <v>1</v>
      </c>
      <c r="AB20" s="1508">
        <v>1</v>
      </c>
      <c r="AC20" s="1508">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2"/>
      <c r="M21" s="2014"/>
      <c r="N21" s="2014"/>
      <c r="O21" s="2014"/>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561"/>
      <c r="D22" s="549"/>
      <c r="E22" s="570"/>
      <c r="F22" s="549"/>
      <c r="G22" s="548"/>
      <c r="H22" s="549"/>
      <c r="I22" s="548"/>
      <c r="J22" s="549"/>
      <c r="K22" s="2444"/>
      <c r="L22" s="2022"/>
      <c r="M22" s="2014"/>
      <c r="N22" s="2014"/>
      <c r="O22" s="2014"/>
      <c r="P22" s="3517"/>
      <c r="Q22" s="2427"/>
      <c r="R22" s="1505"/>
      <c r="S22" s="1506"/>
      <c r="T22" s="1505"/>
      <c r="U22" s="1506"/>
      <c r="V22" s="1505"/>
      <c r="W22" s="1506"/>
      <c r="X22" s="2429"/>
      <c r="Y22" s="3517"/>
      <c r="Z22" s="2428"/>
      <c r="AA22" s="1508">
        <v>1</v>
      </c>
      <c r="AB22" s="1508">
        <v>1</v>
      </c>
      <c r="AC22" s="1508">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2"/>
      <c r="M23" s="2014"/>
      <c r="N23" s="2014"/>
      <c r="O23" s="2014"/>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572"/>
      <c r="C24" s="548"/>
      <c r="D24" s="549"/>
      <c r="E24" s="552"/>
      <c r="F24" s="549"/>
      <c r="G24" s="550"/>
      <c r="H24" s="549"/>
      <c r="I24" s="550"/>
      <c r="J24" s="549"/>
      <c r="K24" s="887"/>
      <c r="L24" s="2022"/>
      <c r="M24" s="2014"/>
      <c r="N24" s="2014"/>
      <c r="O24" s="2014"/>
      <c r="P24" s="3517"/>
      <c r="Q24" s="1504"/>
      <c r="R24" s="1505"/>
      <c r="S24" s="1506"/>
      <c r="T24" s="1505"/>
      <c r="U24" s="1506"/>
      <c r="V24" s="1505"/>
      <c r="W24" s="1506"/>
      <c r="X24" s="1499"/>
      <c r="Y24" s="3517"/>
      <c r="Z24" s="1507"/>
      <c r="AA24" s="1508">
        <v>1</v>
      </c>
      <c r="AB24" s="1508">
        <v>1</v>
      </c>
      <c r="AC24" s="1508">
        <v>1</v>
      </c>
    </row>
    <row r="25" spans="1:29" ht="27">
      <c r="A25" s="509"/>
      <c r="B25" s="554" t="s">
        <v>542</v>
      </c>
      <c r="C25" s="899"/>
      <c r="D25" s="534">
        <v>100</v>
      </c>
      <c r="E25" s="533"/>
      <c r="F25" s="534">
        <f>SUMIF(87:87,E26,88:88)-SUMIF(87:87,C26,88:88)+100</f>
        <v>100</v>
      </c>
      <c r="G25" s="899"/>
      <c r="H25" s="534">
        <f>SUMIF(87:87,G26,88:88)-SUMIF(87:87,C26,88:88)+100</f>
        <v>100</v>
      </c>
      <c r="I25" s="533"/>
      <c r="J25" s="534">
        <f>SUMIF(87:87,I26,88:88)-SUMIF(87:87,C26,88:88)+100</f>
        <v>100</v>
      </c>
      <c r="K25" s="886"/>
      <c r="L25" s="2022"/>
      <c r="M25" s="2014"/>
      <c r="N25" s="2014"/>
      <c r="O25" s="2014"/>
      <c r="P25" s="3517"/>
      <c r="Q25" s="1504" t="str">
        <f>B25</f>
        <v>毗邻道路的类型与等级</v>
      </c>
      <c r="R25" s="1505" t="s">
        <v>8</v>
      </c>
      <c r="S25" s="1506">
        <f>F25</f>
        <v>100</v>
      </c>
      <c r="T25" s="1505" t="s">
        <v>8</v>
      </c>
      <c r="U25" s="1506">
        <f>H25</f>
        <v>100</v>
      </c>
      <c r="V25" s="1505" t="s">
        <v>8</v>
      </c>
      <c r="W25" s="1506">
        <f>J25</f>
        <v>100</v>
      </c>
      <c r="X25" s="1499"/>
      <c r="Y25" s="3517"/>
      <c r="Z25" s="1507" t="str">
        <f>Q25</f>
        <v>毗邻道路的类型与等级</v>
      </c>
      <c r="AA25" s="1508">
        <f t="shared" si="3"/>
        <v>1</v>
      </c>
      <c r="AB25" s="1508">
        <f t="shared" si="4"/>
        <v>1</v>
      </c>
      <c r="AC25" s="1508">
        <f t="shared" si="5"/>
        <v>1</v>
      </c>
    </row>
    <row r="26" spans="1:29" ht="15">
      <c r="A26" s="509"/>
      <c r="B26" s="560"/>
      <c r="C26" s="574"/>
      <c r="D26" s="534"/>
      <c r="E26" s="577"/>
      <c r="F26" s="534"/>
      <c r="G26" s="574"/>
      <c r="H26" s="534"/>
      <c r="I26" s="577"/>
      <c r="J26" s="534"/>
      <c r="K26" s="887"/>
      <c r="L26" s="2022"/>
      <c r="M26" s="2014"/>
      <c r="N26" s="2014"/>
      <c r="O26" s="2014"/>
      <c r="P26" s="3517"/>
      <c r="Q26" s="1504"/>
      <c r="R26" s="1505"/>
      <c r="S26" s="1506"/>
      <c r="T26" s="1505"/>
      <c r="U26" s="1506"/>
      <c r="V26" s="1505"/>
      <c r="W26" s="1506"/>
      <c r="X26" s="1499"/>
      <c r="Y26" s="3517"/>
      <c r="Z26" s="1507"/>
      <c r="AA26" s="1508">
        <v>1</v>
      </c>
      <c r="AB26" s="1508">
        <v>1</v>
      </c>
      <c r="AC26" s="1508">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517"/>
      <c r="Q27" s="1504" t="str">
        <f t="shared" ref="Q27:Q47" si="11">B27</f>
        <v>楼层</v>
      </c>
      <c r="R27" s="1505" t="s">
        <v>8</v>
      </c>
      <c r="S27" s="1506">
        <f>F27</f>
        <v>100</v>
      </c>
      <c r="T27" s="1505" t="s">
        <v>8</v>
      </c>
      <c r="U27" s="1506">
        <f>H27</f>
        <v>100</v>
      </c>
      <c r="V27" s="1505" t="s">
        <v>8</v>
      </c>
      <c r="W27" s="1506">
        <f>J27</f>
        <v>100</v>
      </c>
      <c r="X27" s="1499"/>
      <c r="Y27" s="3517"/>
      <c r="Z27" s="1507" t="str">
        <f>Q27</f>
        <v>楼层</v>
      </c>
      <c r="AA27" s="1508">
        <f t="shared" si="3"/>
        <v>1</v>
      </c>
      <c r="AB27" s="1508">
        <f t="shared" si="4"/>
        <v>1</v>
      </c>
      <c r="AC27" s="1508">
        <f t="shared" si="5"/>
        <v>1</v>
      </c>
    </row>
    <row r="28" spans="1:29" s="1201" customFormat="1" ht="15">
      <c r="A28" s="530"/>
      <c r="B28" s="554" t="s">
        <v>773</v>
      </c>
      <c r="C28" s="900"/>
      <c r="D28" s="864">
        <v>100</v>
      </c>
      <c r="E28" s="889"/>
      <c r="F28" s="864">
        <f>SUMIF(91:91,E28,92:92)-SUMIF(91:91,C28,92:92)+100</f>
        <v>100</v>
      </c>
      <c r="G28" s="900"/>
      <c r="H28" s="864">
        <f>SUMIF(91:91,G28,92:92)-SUMIF(91:91,C28,92:92)+100</f>
        <v>100</v>
      </c>
      <c r="I28" s="889"/>
      <c r="J28" s="864">
        <f>SUMIF(91:91,I28,92:92)-SUMIF(91:91,C28,92:92)+100</f>
        <v>100</v>
      </c>
      <c r="K28" s="578"/>
      <c r="L28" s="2015"/>
      <c r="M28" s="2016"/>
      <c r="N28" s="2016"/>
      <c r="O28" s="2016"/>
      <c r="P28" s="3517"/>
      <c r="Q28" s="1132" t="str">
        <f t="shared" si="11"/>
        <v>朝向</v>
      </c>
      <c r="R28" s="1500" t="s">
        <v>8</v>
      </c>
      <c r="S28" s="1501">
        <f>F28</f>
        <v>100</v>
      </c>
      <c r="T28" s="1500" t="s">
        <v>8</v>
      </c>
      <c r="U28" s="1501">
        <f>H28</f>
        <v>100</v>
      </c>
      <c r="V28" s="1500" t="s">
        <v>8</v>
      </c>
      <c r="W28" s="1501">
        <f>J28</f>
        <v>100</v>
      </c>
      <c r="X28" s="1502"/>
      <c r="Y28" s="3517"/>
      <c r="Z28" s="1131" t="str">
        <f>Q28</f>
        <v>朝向</v>
      </c>
      <c r="AA28" s="1508">
        <f>D28/F28</f>
        <v>1</v>
      </c>
      <c r="AB28" s="1508">
        <f>D28/H28</f>
        <v>1</v>
      </c>
      <c r="AC28" s="1508">
        <f>D28/J28</f>
        <v>1</v>
      </c>
    </row>
    <row r="29" spans="1:29" ht="15">
      <c r="A29" s="526"/>
      <c r="B29" s="579">
        <v>111</v>
      </c>
      <c r="C29" s="899"/>
      <c r="D29" s="534">
        <v>100</v>
      </c>
      <c r="E29" s="522"/>
      <c r="F29" s="534">
        <f>SUMIF(93:93,E29,94:94)-SUMIF(93:93,C29,94:94)+100</f>
        <v>100</v>
      </c>
      <c r="G29" s="897"/>
      <c r="H29" s="534">
        <f>SUMIF(93:93,G29,94:94)-SUMIF(93:93,C29,94:94)+100</f>
        <v>100</v>
      </c>
      <c r="I29" s="522"/>
      <c r="J29" s="534">
        <f>SUMIF(93:93,I29,94:94)-SUMIF(93:93,C29,94:94)+100</f>
        <v>100</v>
      </c>
      <c r="K29" s="575"/>
      <c r="L29" s="2022"/>
      <c r="M29" s="2014"/>
      <c r="N29" s="2014"/>
      <c r="O29" s="2014"/>
      <c r="P29" s="3517"/>
      <c r="Q29" s="1504">
        <f t="shared" si="11"/>
        <v>111</v>
      </c>
      <c r="R29" s="1505" t="s">
        <v>8</v>
      </c>
      <c r="S29" s="1506">
        <f t="shared" ref="S29:S47" si="12">F29</f>
        <v>100</v>
      </c>
      <c r="T29" s="1505" t="s">
        <v>8</v>
      </c>
      <c r="U29" s="1506">
        <f t="shared" ref="U29:U47" si="13">H29</f>
        <v>100</v>
      </c>
      <c r="V29" s="1505" t="s">
        <v>8</v>
      </c>
      <c r="W29" s="1506">
        <f t="shared" ref="W29:W47" si="14">J29</f>
        <v>100</v>
      </c>
      <c r="X29" s="1499"/>
      <c r="Y29" s="3517"/>
      <c r="Z29" s="1507">
        <f t="shared" ref="Z29:Z47" si="15">Q29</f>
        <v>111</v>
      </c>
      <c r="AA29" s="1508">
        <f t="shared" si="3"/>
        <v>1</v>
      </c>
      <c r="AB29" s="1508">
        <f t="shared" si="4"/>
        <v>1</v>
      </c>
      <c r="AC29" s="1508">
        <f t="shared" si="5"/>
        <v>1</v>
      </c>
    </row>
    <row r="30" spans="1:29" ht="15">
      <c r="A30" s="526"/>
      <c r="B30" s="579">
        <v>111</v>
      </c>
      <c r="C30" s="899"/>
      <c r="D30" s="534">
        <v>100</v>
      </c>
      <c r="E30" s="522"/>
      <c r="F30" s="534">
        <f>SUMIF(95:95,E30,96:96)-SUMIF(95:95,C30,96:96)+100</f>
        <v>100</v>
      </c>
      <c r="G30" s="897"/>
      <c r="H30" s="534">
        <f>SUMIF(95:95,G30,96:96)-SUMIF(95:95,C30,96:96)+100</f>
        <v>100</v>
      </c>
      <c r="I30" s="522"/>
      <c r="J30" s="534">
        <f>SUMIF(95:95,I30,96:96)-SUMIF(95:95,C30,96:96)+100</f>
        <v>100</v>
      </c>
      <c r="K30" s="575"/>
      <c r="L30" s="2022"/>
      <c r="M30" s="2014"/>
      <c r="N30" s="2014"/>
      <c r="O30" s="2014"/>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
      <c r="A31" s="526"/>
      <c r="B31" s="579">
        <v>111</v>
      </c>
      <c r="C31" s="899"/>
      <c r="D31" s="534">
        <v>100</v>
      </c>
      <c r="E31" s="522"/>
      <c r="F31" s="534">
        <f>SUMIF(97:97,E31,98:98)-SUMIF(97:97,C31,98:98)+100</f>
        <v>100</v>
      </c>
      <c r="G31" s="897"/>
      <c r="H31" s="534">
        <f>SUMIF(97:97,G31,98:98)-SUMIF(97:97,C31,98:98)+100</f>
        <v>100</v>
      </c>
      <c r="I31" s="522"/>
      <c r="J31" s="534">
        <f>SUMIF(97:97,I31,98:98)-SUMIF(97:97,C31,98:98)+100</f>
        <v>100</v>
      </c>
      <c r="K31" s="575"/>
      <c r="L31" s="2022"/>
      <c r="M31" s="2014"/>
      <c r="N31" s="2014"/>
      <c r="O31" s="2014"/>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75" thickBot="1">
      <c r="A32" s="537"/>
      <c r="B32" s="901">
        <v>111</v>
      </c>
      <c r="C32" s="902"/>
      <c r="D32" s="540">
        <v>100</v>
      </c>
      <c r="E32" s="898"/>
      <c r="F32" s="540">
        <f>SUMIF(99:99,E32,100:100)-SUMIF(99:99,C32,100:100)+100</f>
        <v>100</v>
      </c>
      <c r="G32" s="897"/>
      <c r="H32" s="540">
        <f>SUMIF(99:99,G32,100:100)-SUMIF(99:99,C32,100:100)+100</f>
        <v>100</v>
      </c>
      <c r="I32" s="522"/>
      <c r="J32" s="540">
        <f>SUMIF(99:99,I32,100:100)-SUMIF(99:99,C32,100:100)+100</f>
        <v>100</v>
      </c>
      <c r="K32" s="575"/>
      <c r="L32" s="2022"/>
      <c r="M32" s="2014"/>
      <c r="N32" s="2014"/>
      <c r="O32" s="2014"/>
      <c r="P32" s="3517"/>
      <c r="Q32" s="1504">
        <f t="shared" si="11"/>
        <v>111</v>
      </c>
      <c r="R32" s="1505" t="s">
        <v>8</v>
      </c>
      <c r="S32" s="1506">
        <f t="shared" si="12"/>
        <v>100</v>
      </c>
      <c r="T32" s="1505" t="s">
        <v>8</v>
      </c>
      <c r="U32" s="1506">
        <f t="shared" si="13"/>
        <v>100</v>
      </c>
      <c r="V32" s="1505" t="s">
        <v>8</v>
      </c>
      <c r="W32" s="1506">
        <f t="shared" si="14"/>
        <v>100</v>
      </c>
      <c r="X32" s="1499"/>
      <c r="Y32" s="3517"/>
      <c r="Z32" s="1507">
        <f t="shared" si="15"/>
        <v>111</v>
      </c>
      <c r="AA32" s="1508">
        <f t="shared" si="3"/>
        <v>1</v>
      </c>
      <c r="AB32" s="1508">
        <f t="shared" si="4"/>
        <v>1</v>
      </c>
      <c r="AC32" s="1508">
        <f t="shared" si="5"/>
        <v>1</v>
      </c>
    </row>
    <row r="33" spans="1:29" ht="15">
      <c r="A33" s="2622" t="s">
        <v>2735</v>
      </c>
      <c r="B33" s="170" t="s">
        <v>774</v>
      </c>
      <c r="C33" s="903"/>
      <c r="D33" s="591">
        <v>100</v>
      </c>
      <c r="E33" s="903"/>
      <c r="F33" s="569">
        <f>SUMIF(101:101,E33,102:102)-SUMIF(101:101,C33,102:102)+100</f>
        <v>100</v>
      </c>
      <c r="G33" s="903"/>
      <c r="H33" s="534">
        <f>SUMIF(101:101,G33,102:102)-SUMIF(101:101,C33,102:102)+100</f>
        <v>100</v>
      </c>
      <c r="I33" s="903"/>
      <c r="J33" s="591">
        <f>SUMIF(101:101,I33,102:102)-SUMIF(101:101,C33,102:102)+100</f>
        <v>100</v>
      </c>
      <c r="K33" s="578"/>
      <c r="L33" s="2022"/>
      <c r="M33" s="2014"/>
      <c r="N33" s="2014"/>
      <c r="O33" s="2014"/>
      <c r="P33" s="3518" t="s">
        <v>544</v>
      </c>
      <c r="Q33" s="1504" t="str">
        <f t="shared" si="11"/>
        <v>建筑类型</v>
      </c>
      <c r="R33" s="1505" t="s">
        <v>8</v>
      </c>
      <c r="S33" s="1506">
        <f t="shared" si="12"/>
        <v>100</v>
      </c>
      <c r="T33" s="1505" t="s">
        <v>8</v>
      </c>
      <c r="U33" s="1506">
        <f t="shared" si="13"/>
        <v>100</v>
      </c>
      <c r="V33" s="1505" t="s">
        <v>8</v>
      </c>
      <c r="W33" s="1506">
        <f t="shared" si="14"/>
        <v>100</v>
      </c>
      <c r="X33" s="1499"/>
      <c r="Y33" s="3519" t="s">
        <v>544</v>
      </c>
      <c r="Z33" s="1507" t="str">
        <f t="shared" si="15"/>
        <v>建筑类型</v>
      </c>
      <c r="AA33" s="1508">
        <f t="shared" si="3"/>
        <v>1</v>
      </c>
      <c r="AB33" s="1508">
        <f t="shared" si="4"/>
        <v>1</v>
      </c>
      <c r="AC33" s="1508">
        <f t="shared" si="5"/>
        <v>1</v>
      </c>
    </row>
    <row r="34" spans="1:29" s="1291"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0"/>
      <c r="M34" s="2050"/>
      <c r="N34" s="2050"/>
      <c r="O34" s="2050"/>
      <c r="P34" s="3519"/>
      <c r="Q34" s="1533" t="str">
        <f t="shared" si="11"/>
        <v>项目建筑规模</v>
      </c>
      <c r="R34" s="1509" t="s">
        <v>8</v>
      </c>
      <c r="S34" s="1510" t="e">
        <f t="shared" si="12"/>
        <v>#N/A</v>
      </c>
      <c r="T34" s="1509" t="s">
        <v>8</v>
      </c>
      <c r="U34" s="1510" t="e">
        <f t="shared" si="13"/>
        <v>#N/A</v>
      </c>
      <c r="V34" s="1509" t="s">
        <v>8</v>
      </c>
      <c r="W34" s="1510" t="e">
        <f t="shared" si="14"/>
        <v>#N/A</v>
      </c>
      <c r="X34" s="1511"/>
      <c r="Y34" s="3519"/>
      <c r="Z34" s="1512" t="str">
        <f t="shared" si="15"/>
        <v>项目建筑规模</v>
      </c>
      <c r="AA34" s="1508" t="e">
        <f t="shared" si="3"/>
        <v>#N/A</v>
      </c>
      <c r="AB34" s="1508" t="e">
        <f t="shared" si="4"/>
        <v>#N/A</v>
      </c>
      <c r="AC34" s="1508"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2"/>
      <c r="M35" s="2014"/>
      <c r="N35" s="2014"/>
      <c r="O35" s="2014"/>
      <c r="P35" s="3519"/>
      <c r="Q35" s="1504" t="str">
        <f t="shared" si="11"/>
        <v>建筑结构</v>
      </c>
      <c r="R35" s="1505" t="s">
        <v>8</v>
      </c>
      <c r="S35" s="1506">
        <f t="shared" si="12"/>
        <v>100</v>
      </c>
      <c r="T35" s="1505" t="s">
        <v>8</v>
      </c>
      <c r="U35" s="1506">
        <f t="shared" si="13"/>
        <v>100</v>
      </c>
      <c r="V35" s="1505" t="s">
        <v>8</v>
      </c>
      <c r="W35" s="1506">
        <f t="shared" si="14"/>
        <v>100</v>
      </c>
      <c r="X35" s="1499"/>
      <c r="Y35" s="3519"/>
      <c r="Z35" s="1507" t="str">
        <f t="shared" si="15"/>
        <v>建筑结构</v>
      </c>
      <c r="AA35" s="1508">
        <f t="shared" si="3"/>
        <v>1</v>
      </c>
      <c r="AB35" s="1508">
        <f t="shared" si="4"/>
        <v>1</v>
      </c>
      <c r="AC35" s="1508">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2"/>
      <c r="M36" s="2014"/>
      <c r="N36" s="2014"/>
      <c r="O36" s="2014"/>
      <c r="P36" s="3519"/>
      <c r="Q36" s="1504" t="str">
        <f t="shared" si="11"/>
        <v>公共部分装修</v>
      </c>
      <c r="R36" s="1505" t="s">
        <v>8</v>
      </c>
      <c r="S36" s="1506">
        <f t="shared" si="12"/>
        <v>100</v>
      </c>
      <c r="T36" s="1505" t="s">
        <v>8</v>
      </c>
      <c r="U36" s="1506">
        <f t="shared" si="13"/>
        <v>100</v>
      </c>
      <c r="V36" s="1505" t="s">
        <v>8</v>
      </c>
      <c r="W36" s="1506">
        <f t="shared" si="14"/>
        <v>100</v>
      </c>
      <c r="X36" s="1499"/>
      <c r="Y36" s="3519"/>
      <c r="Z36" s="1507" t="str">
        <f t="shared" si="15"/>
        <v>公共部分装修</v>
      </c>
      <c r="AA36" s="1508">
        <f t="shared" si="3"/>
        <v>1</v>
      </c>
      <c r="AB36" s="1508">
        <f t="shared" si="4"/>
        <v>1</v>
      </c>
      <c r="AC36" s="1508">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2"/>
      <c r="M37" s="2014"/>
      <c r="N37" s="2014"/>
      <c r="O37" s="2014"/>
      <c r="P37" s="3519"/>
      <c r="Q37" s="1504" t="str">
        <f t="shared" si="11"/>
        <v>成新度</v>
      </c>
      <c r="R37" s="1505" t="s">
        <v>8</v>
      </c>
      <c r="S37" s="1506" t="e">
        <f t="shared" si="12"/>
        <v>#N/A</v>
      </c>
      <c r="T37" s="1505" t="s">
        <v>8</v>
      </c>
      <c r="U37" s="1506" t="e">
        <f t="shared" si="13"/>
        <v>#N/A</v>
      </c>
      <c r="V37" s="1505" t="s">
        <v>8</v>
      </c>
      <c r="W37" s="1506" t="e">
        <f t="shared" si="14"/>
        <v>#N/A</v>
      </c>
      <c r="X37" s="1499"/>
      <c r="Y37" s="3519"/>
      <c r="Z37" s="1507" t="str">
        <f t="shared" si="15"/>
        <v>成新度</v>
      </c>
      <c r="AA37" s="1508" t="e">
        <f t="shared" si="3"/>
        <v>#N/A</v>
      </c>
      <c r="AB37" s="1508" t="e">
        <f t="shared" si="4"/>
        <v>#N/A</v>
      </c>
      <c r="AC37" s="1508" t="e">
        <f t="shared" si="5"/>
        <v>#N/A</v>
      </c>
    </row>
    <row r="38" spans="1:29" s="1201"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519"/>
      <c r="Q38" s="1132" t="str">
        <f t="shared" si="11"/>
        <v>写字楼等级</v>
      </c>
      <c r="R38" s="1500" t="s">
        <v>8</v>
      </c>
      <c r="S38" s="1501">
        <f t="shared" si="12"/>
        <v>100</v>
      </c>
      <c r="T38" s="1500" t="s">
        <v>8</v>
      </c>
      <c r="U38" s="1501">
        <f t="shared" si="13"/>
        <v>100</v>
      </c>
      <c r="V38" s="1500" t="s">
        <v>8</v>
      </c>
      <c r="W38" s="1501">
        <f t="shared" si="14"/>
        <v>100</v>
      </c>
      <c r="X38" s="1502"/>
      <c r="Y38" s="3519"/>
      <c r="Z38" s="1131" t="str">
        <f t="shared" si="15"/>
        <v>写字楼等级</v>
      </c>
      <c r="AA38" s="1503">
        <f t="shared" si="3"/>
        <v>1</v>
      </c>
      <c r="AB38" s="1503">
        <f t="shared" si="4"/>
        <v>1</v>
      </c>
      <c r="AC38" s="1503">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2"/>
      <c r="M39" s="2014"/>
      <c r="N39" s="2014"/>
      <c r="O39" s="2014"/>
      <c r="P39" s="3519" t="s">
        <v>544</v>
      </c>
      <c r="Q39" s="1504" t="str">
        <f t="shared" si="11"/>
        <v>物业管理</v>
      </c>
      <c r="R39" s="1505" t="s">
        <v>8</v>
      </c>
      <c r="S39" s="1506">
        <f t="shared" si="12"/>
        <v>100</v>
      </c>
      <c r="T39" s="1505" t="s">
        <v>8</v>
      </c>
      <c r="U39" s="1506">
        <f t="shared" si="13"/>
        <v>100</v>
      </c>
      <c r="V39" s="1505" t="s">
        <v>8</v>
      </c>
      <c r="W39" s="1506">
        <f t="shared" si="14"/>
        <v>100</v>
      </c>
      <c r="X39" s="1499"/>
      <c r="Y39" s="3519" t="s">
        <v>544</v>
      </c>
      <c r="Z39" s="1507" t="str">
        <f t="shared" si="15"/>
        <v>物业管理</v>
      </c>
      <c r="AA39" s="1508">
        <f t="shared" si="3"/>
        <v>1</v>
      </c>
      <c r="AB39" s="1508">
        <f t="shared" si="4"/>
        <v>1</v>
      </c>
      <c r="AC39" s="1508">
        <f t="shared" si="5"/>
        <v>1</v>
      </c>
    </row>
    <row r="40" spans="1:29" ht="15">
      <c r="A40" s="588"/>
      <c r="B40" s="1807"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2"/>
      <c r="M40" s="2014"/>
      <c r="N40" s="2014"/>
      <c r="O40" s="2014"/>
      <c r="P40" s="3519"/>
      <c r="Q40" s="1504" t="str">
        <f t="shared" si="11"/>
        <v>市政基础设施</v>
      </c>
      <c r="R40" s="1505" t="s">
        <v>8</v>
      </c>
      <c r="S40" s="1506">
        <f t="shared" si="12"/>
        <v>100</v>
      </c>
      <c r="T40" s="1505" t="s">
        <v>8</v>
      </c>
      <c r="U40" s="1506">
        <f t="shared" si="13"/>
        <v>100</v>
      </c>
      <c r="V40" s="1505" t="s">
        <v>8</v>
      </c>
      <c r="W40" s="1506">
        <f t="shared" si="14"/>
        <v>100</v>
      </c>
      <c r="X40" s="1499"/>
      <c r="Y40" s="3519"/>
      <c r="Z40" s="1507" t="str">
        <f t="shared" si="15"/>
        <v>市政基础设施</v>
      </c>
      <c r="AA40" s="1508">
        <f t="shared" si="3"/>
        <v>1</v>
      </c>
      <c r="AB40" s="1508">
        <f t="shared" si="4"/>
        <v>1</v>
      </c>
      <c r="AC40" s="1508">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519"/>
      <c r="Q41" s="1504" t="str">
        <f t="shared" si="11"/>
        <v>层高</v>
      </c>
      <c r="R41" s="1505" t="s">
        <v>8</v>
      </c>
      <c r="S41" s="1506">
        <f t="shared" si="12"/>
        <v>100</v>
      </c>
      <c r="T41" s="1505" t="s">
        <v>8</v>
      </c>
      <c r="U41" s="1506">
        <f t="shared" si="13"/>
        <v>100</v>
      </c>
      <c r="V41" s="1505" t="s">
        <v>8</v>
      </c>
      <c r="W41" s="1506">
        <f t="shared" si="14"/>
        <v>100</v>
      </c>
      <c r="X41" s="1499"/>
      <c r="Y41" s="3519"/>
      <c r="Z41" s="1507" t="str">
        <f t="shared" si="15"/>
        <v>层高</v>
      </c>
      <c r="AA41" s="1508">
        <f t="shared" si="3"/>
        <v>1</v>
      </c>
      <c r="AB41" s="1508">
        <f t="shared" si="4"/>
        <v>1</v>
      </c>
      <c r="AC41" s="1508">
        <f t="shared" si="5"/>
        <v>1</v>
      </c>
    </row>
    <row r="42" spans="1:29" s="1291" customFormat="1" ht="15">
      <c r="A42" s="597"/>
      <c r="B42" s="891"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519"/>
      <c r="Q42" s="1533" t="str">
        <f t="shared" si="11"/>
        <v>单套建筑面积</v>
      </c>
      <c r="R42" s="1509" t="s">
        <v>8</v>
      </c>
      <c r="S42" s="1510">
        <f t="shared" si="12"/>
        <v>100</v>
      </c>
      <c r="T42" s="1509" t="s">
        <v>8</v>
      </c>
      <c r="U42" s="1510">
        <f t="shared" si="13"/>
        <v>100</v>
      </c>
      <c r="V42" s="1509" t="s">
        <v>8</v>
      </c>
      <c r="W42" s="1510">
        <f t="shared" si="14"/>
        <v>100</v>
      </c>
      <c r="X42" s="1511"/>
      <c r="Y42" s="3519"/>
      <c r="Z42" s="1512" t="str">
        <f t="shared" si="15"/>
        <v>单套建筑面积</v>
      </c>
      <c r="AA42" s="1508">
        <f t="shared" si="3"/>
        <v>1</v>
      </c>
      <c r="AB42" s="1508">
        <f t="shared" si="4"/>
        <v>1</v>
      </c>
      <c r="AC42" s="1508">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2"/>
      <c r="M43" s="2014"/>
      <c r="N43" s="2014"/>
      <c r="O43" s="2014"/>
      <c r="P43" s="3519"/>
      <c r="Q43" s="1504" t="str">
        <f t="shared" si="11"/>
        <v>内部装修</v>
      </c>
      <c r="R43" s="1505" t="s">
        <v>8</v>
      </c>
      <c r="S43" s="1506">
        <f t="shared" si="12"/>
        <v>100</v>
      </c>
      <c r="T43" s="1505" t="s">
        <v>8</v>
      </c>
      <c r="U43" s="1506">
        <f t="shared" si="13"/>
        <v>100</v>
      </c>
      <c r="V43" s="1505" t="s">
        <v>8</v>
      </c>
      <c r="W43" s="1506">
        <f t="shared" si="14"/>
        <v>100</v>
      </c>
      <c r="X43" s="1499"/>
      <c r="Y43" s="3519"/>
      <c r="Z43" s="1507" t="str">
        <f t="shared" si="15"/>
        <v>内部装修</v>
      </c>
      <c r="AA43" s="1508">
        <f t="shared" si="3"/>
        <v>1</v>
      </c>
      <c r="AB43" s="1508">
        <f t="shared" si="4"/>
        <v>1</v>
      </c>
      <c r="AC43" s="1508">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2"/>
      <c r="M44" s="2014"/>
      <c r="N44" s="2014"/>
      <c r="O44" s="2014"/>
      <c r="P44" s="3519"/>
      <c r="Q44" s="1504" t="str">
        <f t="shared" si="11"/>
        <v>内部装修维护情况</v>
      </c>
      <c r="R44" s="1505" t="s">
        <v>8</v>
      </c>
      <c r="S44" s="1506">
        <f t="shared" si="12"/>
        <v>100</v>
      </c>
      <c r="T44" s="1505" t="s">
        <v>8</v>
      </c>
      <c r="U44" s="1506">
        <f t="shared" si="13"/>
        <v>100</v>
      </c>
      <c r="V44" s="1505" t="s">
        <v>8</v>
      </c>
      <c r="W44" s="1506">
        <f t="shared" si="14"/>
        <v>100</v>
      </c>
      <c r="X44" s="1499"/>
      <c r="Y44" s="3519"/>
      <c r="Z44" s="1507" t="str">
        <f t="shared" si="15"/>
        <v>内部装修维护情况</v>
      </c>
      <c r="AA44" s="1508">
        <f t="shared" si="3"/>
        <v>1</v>
      </c>
      <c r="AB44" s="1508">
        <f t="shared" si="4"/>
        <v>1</v>
      </c>
      <c r="AC44" s="1508">
        <f t="shared" si="5"/>
        <v>1</v>
      </c>
    </row>
    <row r="45" spans="1:29" s="1201"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519"/>
      <c r="Q45" s="1132">
        <f t="shared" si="11"/>
        <v>111</v>
      </c>
      <c r="R45" s="1500" t="s">
        <v>8</v>
      </c>
      <c r="S45" s="1501">
        <f t="shared" si="12"/>
        <v>100</v>
      </c>
      <c r="T45" s="1500" t="s">
        <v>8</v>
      </c>
      <c r="U45" s="1501">
        <f t="shared" si="13"/>
        <v>100</v>
      </c>
      <c r="V45" s="1500" t="s">
        <v>8</v>
      </c>
      <c r="W45" s="1501">
        <f t="shared" si="14"/>
        <v>100</v>
      </c>
      <c r="X45" s="1502"/>
      <c r="Y45" s="3519"/>
      <c r="Z45" s="1131">
        <f t="shared" si="15"/>
        <v>111</v>
      </c>
      <c r="AA45" s="1503">
        <f t="shared" si="3"/>
        <v>1</v>
      </c>
      <c r="AB45" s="1503">
        <f t="shared" si="4"/>
        <v>1</v>
      </c>
      <c r="AC45" s="1503">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519"/>
      <c r="Q46" s="1504">
        <f t="shared" si="11"/>
        <v>111</v>
      </c>
      <c r="R46" s="1505" t="s">
        <v>8</v>
      </c>
      <c r="S46" s="1506">
        <f t="shared" si="12"/>
        <v>100</v>
      </c>
      <c r="T46" s="1505" t="s">
        <v>8</v>
      </c>
      <c r="U46" s="1506">
        <f t="shared" si="13"/>
        <v>100</v>
      </c>
      <c r="V46" s="1505" t="s">
        <v>8</v>
      </c>
      <c r="W46" s="1506">
        <f t="shared" si="14"/>
        <v>100</v>
      </c>
      <c r="X46" s="1499"/>
      <c r="Y46" s="3519"/>
      <c r="Z46" s="1507">
        <f t="shared" si="15"/>
        <v>111</v>
      </c>
      <c r="AA46" s="1508">
        <f t="shared" si="3"/>
        <v>1</v>
      </c>
      <c r="AB46" s="1508">
        <f t="shared" si="4"/>
        <v>1</v>
      </c>
      <c r="AC46" s="1508">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601"/>
      <c r="Q47" s="1504">
        <f t="shared" si="11"/>
        <v>111</v>
      </c>
      <c r="R47" s="1505" t="s">
        <v>8</v>
      </c>
      <c r="S47" s="1506">
        <f t="shared" si="12"/>
        <v>100</v>
      </c>
      <c r="T47" s="1505" t="s">
        <v>8</v>
      </c>
      <c r="U47" s="1506">
        <f t="shared" si="13"/>
        <v>100</v>
      </c>
      <c r="V47" s="1505" t="s">
        <v>8</v>
      </c>
      <c r="W47" s="1506">
        <f t="shared" si="14"/>
        <v>100</v>
      </c>
      <c r="X47" s="1499"/>
      <c r="Y47" s="3601"/>
      <c r="Z47" s="1507">
        <f t="shared" si="15"/>
        <v>111</v>
      </c>
      <c r="AA47" s="1508">
        <f t="shared" si="3"/>
        <v>1</v>
      </c>
      <c r="AB47" s="1508">
        <f t="shared" si="4"/>
        <v>1</v>
      </c>
      <c r="AC47" s="1508">
        <f t="shared" si="5"/>
        <v>1</v>
      </c>
    </row>
    <row r="48" spans="1:29" ht="15">
      <c r="A48" s="601" t="s">
        <v>730</v>
      </c>
      <c r="B48" s="875"/>
      <c r="C48" s="2468" t="s">
        <v>1</v>
      </c>
      <c r="D48" s="2469"/>
      <c r="E48" s="2470"/>
      <c r="F48" s="2471"/>
      <c r="G48" s="2472"/>
      <c r="H48" s="2473"/>
      <c r="I48" s="2470"/>
      <c r="J48" s="2473"/>
      <c r="K48" s="1538"/>
      <c r="L48" s="2024"/>
      <c r="M48" s="2014"/>
      <c r="N48" s="2014"/>
      <c r="O48" s="2014"/>
      <c r="P48" s="3480" t="str">
        <f>A48</f>
        <v>成交单价（元/平方米）</v>
      </c>
      <c r="Q48" s="3482"/>
      <c r="R48" s="3602">
        <f>E48</f>
        <v>0</v>
      </c>
      <c r="S48" s="3602"/>
      <c r="T48" s="3602">
        <f>G48</f>
        <v>0</v>
      </c>
      <c r="U48" s="3602"/>
      <c r="V48" s="3602">
        <f>I48</f>
        <v>0</v>
      </c>
      <c r="W48" s="3602"/>
      <c r="X48" s="1494"/>
      <c r="Y48" s="1513"/>
      <c r="Z48" s="1494"/>
      <c r="AA48" s="1494"/>
      <c r="AB48" s="1494"/>
      <c r="AC48" s="1494"/>
    </row>
    <row r="49" spans="1:29" ht="15.75" thickBot="1">
      <c r="A49" s="609" t="s">
        <v>2740</v>
      </c>
      <c r="B49" s="876"/>
      <c r="C49" s="2474" t="e">
        <f>R50</f>
        <v>#DIV/0!</v>
      </c>
      <c r="D49" s="3010" t="s">
        <v>2960</v>
      </c>
      <c r="E49" s="2475" t="e">
        <f>R49</f>
        <v>#DIV/0!</v>
      </c>
      <c r="F49" s="3011"/>
      <c r="G49" s="2474" t="e">
        <f>T49</f>
        <v>#DIV/0!</v>
      </c>
      <c r="H49" s="3011"/>
      <c r="I49" s="2475" t="e">
        <f>V49</f>
        <v>#DIV/0!</v>
      </c>
      <c r="J49" s="3011"/>
      <c r="K49" s="3019">
        <f>F49+H49+J49</f>
        <v>0</v>
      </c>
      <c r="L49" s="2024"/>
      <c r="M49" s="2014"/>
      <c r="N49" s="2014"/>
      <c r="O49" s="2014"/>
      <c r="P49" s="3480" t="str">
        <f>A49</f>
        <v>比较价格（元/平方米）</v>
      </c>
      <c r="Q49" s="3482"/>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494"/>
      <c r="Y49" s="1494"/>
      <c r="Z49" s="1494"/>
      <c r="AA49" s="1494"/>
      <c r="AB49" s="1494"/>
      <c r="AC49" s="1494"/>
    </row>
    <row r="50" spans="1:29" ht="15.75" thickBot="1">
      <c r="A50" s="613" t="s">
        <v>2892</v>
      </c>
      <c r="B50" s="614"/>
      <c r="C50" s="2476" t="e">
        <f>R50</f>
        <v>#DIV/0!</v>
      </c>
      <c r="D50" s="2476"/>
      <c r="E50" s="2476"/>
      <c r="F50" s="2476"/>
      <c r="G50" s="2476"/>
      <c r="H50" s="2476"/>
      <c r="I50" s="2476"/>
      <c r="J50" s="2476"/>
      <c r="K50" s="1539"/>
      <c r="L50" s="2024"/>
      <c r="M50" s="2014"/>
      <c r="N50" s="2014"/>
      <c r="O50" s="2014"/>
      <c r="P50" s="3604" t="str">
        <f>A50</f>
        <v>估价对象XX用房的比较价格（楼面单价，元/平方米）</v>
      </c>
      <c r="Q50" s="3480"/>
      <c r="R50" s="3603" t="e">
        <f>IF(F1="售价",ROUND(IF(D49="简单平均",AVERAGE(R49:V49),R49*F49+T49*H49+V49*J49),0),ROUND(IF(D49="简单平均",AVERAGE(R49:V49),R49*F49+T49*H49+V49*J49),1))</f>
        <v>#DIV/0!</v>
      </c>
      <c r="S50" s="3603"/>
      <c r="T50" s="3603"/>
      <c r="U50" s="3603"/>
      <c r="V50" s="3603"/>
      <c r="W50" s="3603"/>
      <c r="X50" s="1494"/>
      <c r="Y50" s="1494"/>
      <c r="Z50" s="1494"/>
      <c r="AA50" s="1494"/>
      <c r="AB50" s="1494"/>
      <c r="AC50" s="1494"/>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c r="E60" s="642"/>
      <c r="F60" s="642"/>
      <c r="G60" s="642"/>
      <c r="H60" s="642"/>
      <c r="I60" s="642"/>
      <c r="J60" s="642"/>
      <c r="K60" s="642"/>
      <c r="L60" s="642"/>
      <c r="M60" s="643"/>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7">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f>C9</f>
        <v>0</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663"/>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c r="D69" s="535"/>
      <c r="E69" s="535"/>
      <c r="F69" s="535"/>
      <c r="G69" s="535"/>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5.75"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2538</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100</v>
      </c>
      <c r="E84" s="671">
        <f>D84-$K21</f>
        <v>100</v>
      </c>
      <c r="F84" s="671">
        <f>E84-$K21</f>
        <v>100</v>
      </c>
      <c r="G84" s="671">
        <f>F84-$K21</f>
        <v>100</v>
      </c>
      <c r="H84" s="922"/>
      <c r="I84" s="922"/>
      <c r="J84" s="922"/>
      <c r="K84" s="922"/>
      <c r="L84" s="922"/>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1"/>
      <c r="B87" s="665" t="s">
        <v>779</v>
      </c>
      <c r="C87" s="680"/>
      <c r="D87" s="680"/>
      <c r="E87" s="680"/>
      <c r="F87" s="680"/>
      <c r="G87" s="680"/>
      <c r="H87" s="680"/>
      <c r="I87" s="680"/>
      <c r="J87" s="680"/>
      <c r="K87" s="680"/>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1"/>
      <c r="B89" s="665" t="str">
        <f>B27</f>
        <v>楼层</v>
      </c>
      <c r="C89" s="680"/>
      <c r="D89" s="680"/>
      <c r="E89" s="680"/>
      <c r="F89" s="880"/>
      <c r="G89" s="680"/>
      <c r="H89" s="680"/>
      <c r="I89" s="680"/>
      <c r="J89" s="680"/>
      <c r="K89" s="680"/>
      <c r="L89" s="680"/>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1"/>
      <c r="B93" s="665">
        <f>B29</f>
        <v>111</v>
      </c>
      <c r="C93" s="680"/>
      <c r="D93" s="680"/>
      <c r="E93" s="680"/>
      <c r="F93" s="680"/>
      <c r="G93" s="680"/>
      <c r="H93" s="680"/>
      <c r="I93" s="680"/>
      <c r="J93" s="680"/>
      <c r="K93" s="680"/>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5.75"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5.75"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5.75"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5.75"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5.75"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5.75" thickBot="1">
      <c r="A100" s="881"/>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c r="A101" s="656" t="s">
        <v>545</v>
      </c>
      <c r="B101" s="657" t="s">
        <v>741</v>
      </c>
      <c r="C101" s="592"/>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c r="D104" s="722"/>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c r="D105" s="663"/>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680"/>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680"/>
      <c r="D108" s="680"/>
      <c r="E108" s="680"/>
      <c r="F108" s="710"/>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2">
        <v>0.5</v>
      </c>
      <c r="D111" s="882">
        <v>0.6</v>
      </c>
      <c r="E111" s="882">
        <v>0.7</v>
      </c>
      <c r="F111" s="882">
        <v>0.8</v>
      </c>
      <c r="G111" s="882">
        <v>0.9</v>
      </c>
      <c r="H111" s="882">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680"/>
      <c r="D113" s="680"/>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680"/>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2537</v>
      </c>
      <c r="C117" s="680"/>
      <c r="D117" s="680"/>
      <c r="E117" s="680"/>
      <c r="F117" s="680"/>
      <c r="G117" s="680"/>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4" t="s">
        <v>781</v>
      </c>
      <c r="C119" s="710"/>
      <c r="D119" s="710"/>
      <c r="E119" s="710"/>
      <c r="F119" s="710"/>
      <c r="G119" s="710"/>
      <c r="H119" s="710"/>
      <c r="I119" s="710"/>
      <c r="J119" s="710"/>
      <c r="K119" s="710"/>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680"/>
      <c r="D123" s="680"/>
      <c r="E123" s="680"/>
      <c r="F123" s="710"/>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6" t="s">
        <v>518</v>
      </c>
      <c r="AC4" s="3485" t="s">
        <v>519</v>
      </c>
    </row>
    <row r="5" spans="1:29" ht="15">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SUMIF(52:52,YEAR(E7)&amp;"-"&amp;MONTH(E7),53:53)</f>
        <v>0</v>
      </c>
      <c r="G7" s="515"/>
      <c r="H7" s="514">
        <f>SUMIF(52:52,YEAR(G7)&amp;"-"&amp;MONTH(G7),53:53)</f>
        <v>0</v>
      </c>
      <c r="I7" s="515"/>
      <c r="J7" s="514">
        <f>SUMIF(52:52,YEAR(I7)&amp;"-"&amp;MONTH(I7),53:53)</f>
        <v>0</v>
      </c>
      <c r="K7" s="518"/>
      <c r="L7" s="2015"/>
      <c r="M7" s="2016"/>
      <c r="N7" s="2016"/>
      <c r="O7" s="2016"/>
      <c r="P7" s="3513"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40" si="3">D8/F8</f>
        <v>#DIV/0!</v>
      </c>
      <c r="AB8" s="1503" t="e">
        <f t="shared" ref="AB8:AB40" si="4">D8/H8</f>
        <v>#DIV/0!</v>
      </c>
      <c r="AC8" s="1503" t="e">
        <f t="shared" ref="AC8:AC40" si="5">D8/J8</f>
        <v>#DIV/0!</v>
      </c>
    </row>
    <row r="9" spans="1:29" s="1201" customFormat="1" ht="15">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7"/>
      <c r="H12" s="253">
        <f>SUMIF(64:64,G12,65:65)-SUMIF(64:64,C12,65:65)+100</f>
        <v>100</v>
      </c>
      <c r="I12" s="869"/>
      <c r="J12" s="253">
        <f>SUMIF(64:64,I12,65:65)-SUMIF(64:64,C12,65:65)+100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7"/>
      <c r="H13" s="534">
        <f>SUMIF(66:66,G13,67:67)-SUMIF(66:66,C13,67:67)+100</f>
        <v>100</v>
      </c>
      <c r="I13" s="869"/>
      <c r="J13" s="534">
        <f>SUMIF(66:66,I13,67:67)-SUMIF(66:66,C13,67:67)+100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539"/>
      <c r="F14" s="540">
        <f>SUMIF(68:68,E14,69:69)-SUMIF(68:68,C14,69:69)+100</f>
        <v>100</v>
      </c>
      <c r="G14" s="907"/>
      <c r="H14" s="540">
        <f>SUMIF(68:68,G14,69:69)-SUMIF(68:68,C14,69:69)+100</f>
        <v>100</v>
      </c>
      <c r="I14" s="869"/>
      <c r="J14" s="540">
        <f>SUMIF(68:68,I14,69:69)-SUMIF(68:68,C14,69:69)+100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57">
      <c r="A15" s="2625" t="s">
        <v>2734</v>
      </c>
      <c r="B15" s="164" t="s">
        <v>783</v>
      </c>
      <c r="C15" s="908"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2"/>
      <c r="M15" s="2014"/>
      <c r="N15" s="2014"/>
      <c r="O15" s="2021"/>
      <c r="P15" s="3516" t="s">
        <v>534</v>
      </c>
      <c r="Q15" s="1504" t="str">
        <f t="shared" si="6"/>
        <v>产业集聚程度</v>
      </c>
      <c r="R15" s="1505" t="s">
        <v>8</v>
      </c>
      <c r="S15" s="1506">
        <f t="shared" si="0"/>
        <v>100</v>
      </c>
      <c r="T15" s="1505" t="s">
        <v>8</v>
      </c>
      <c r="U15" s="1506">
        <f t="shared" si="1"/>
        <v>100</v>
      </c>
      <c r="V15" s="1505" t="s">
        <v>8</v>
      </c>
      <c r="W15" s="1506">
        <f t="shared" si="2"/>
        <v>100</v>
      </c>
      <c r="X15" s="1499"/>
      <c r="Y15" s="3516"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2"/>
      <c r="M17" s="2014"/>
      <c r="N17" s="2014"/>
      <c r="O17" s="2021"/>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2"/>
      <c r="M19" s="2014"/>
      <c r="N19" s="2014"/>
      <c r="O19" s="2021"/>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2"/>
      <c r="M23" s="2014"/>
      <c r="N23" s="2014"/>
      <c r="O23" s="2021"/>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909"/>
      <c r="C24" s="570"/>
      <c r="D24" s="549"/>
      <c r="E24" s="550"/>
      <c r="F24" s="551"/>
      <c r="G24" s="552"/>
      <c r="H24" s="549"/>
      <c r="I24" s="550"/>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517"/>
      <c r="Q25" s="1504">
        <f>B25</f>
        <v>111</v>
      </c>
      <c r="R25" s="1505" t="s">
        <v>8</v>
      </c>
      <c r="S25" s="1506">
        <f>F25</f>
        <v>100</v>
      </c>
      <c r="T25" s="1505" t="s">
        <v>8</v>
      </c>
      <c r="U25" s="1506">
        <f>H25</f>
        <v>100</v>
      </c>
      <c r="V25" s="1505" t="s">
        <v>8</v>
      </c>
      <c r="W25" s="1506">
        <f>J25</f>
        <v>100</v>
      </c>
      <c r="X25" s="1499"/>
      <c r="Y25" s="3517"/>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517"/>
      <c r="Q26" s="1504">
        <f t="shared" ref="Q26:Q40" si="11">B26</f>
        <v>111</v>
      </c>
      <c r="R26" s="1505" t="s">
        <v>8</v>
      </c>
      <c r="S26" s="1506">
        <f>F26</f>
        <v>100</v>
      </c>
      <c r="T26" s="1505" t="s">
        <v>8</v>
      </c>
      <c r="U26" s="1506">
        <f>H26</f>
        <v>100</v>
      </c>
      <c r="V26" s="1505" t="s">
        <v>8</v>
      </c>
      <c r="W26" s="1506">
        <f>J26</f>
        <v>100</v>
      </c>
      <c r="X26" s="1499"/>
      <c r="Y26" s="3517"/>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517"/>
      <c r="Q27" s="1132">
        <f t="shared" si="11"/>
        <v>111</v>
      </c>
      <c r="R27" s="1500" t="s">
        <v>8</v>
      </c>
      <c r="S27" s="1501">
        <f>F27</f>
        <v>100</v>
      </c>
      <c r="T27" s="1500" t="s">
        <v>8</v>
      </c>
      <c r="U27" s="1501">
        <f>H27</f>
        <v>100</v>
      </c>
      <c r="V27" s="1500" t="s">
        <v>8</v>
      </c>
      <c r="W27" s="1501">
        <f>J27</f>
        <v>100</v>
      </c>
      <c r="X27" s="1502"/>
      <c r="Y27" s="3517"/>
      <c r="Z27" s="1131">
        <f>Q27</f>
        <v>111</v>
      </c>
      <c r="AA27" s="1508">
        <f>D27/F27</f>
        <v>1</v>
      </c>
      <c r="AB27" s="1508">
        <f>D27/H27</f>
        <v>1</v>
      </c>
      <c r="AC27" s="1508">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517"/>
      <c r="Q28" s="1504">
        <f t="shared" si="11"/>
        <v>111</v>
      </c>
      <c r="R28" s="1505" t="s">
        <v>8</v>
      </c>
      <c r="S28" s="1506">
        <f t="shared" ref="S28:S40" si="12">F28</f>
        <v>100</v>
      </c>
      <c r="T28" s="1505" t="s">
        <v>8</v>
      </c>
      <c r="U28" s="1506">
        <f t="shared" ref="U28:U40" si="13">H28</f>
        <v>100</v>
      </c>
      <c r="V28" s="1505" t="s">
        <v>8</v>
      </c>
      <c r="W28" s="1506">
        <f t="shared" ref="W28:W40" si="14">J28</f>
        <v>100</v>
      </c>
      <c r="X28" s="1499"/>
      <c r="Y28" s="3517"/>
      <c r="Z28" s="1507">
        <f t="shared" ref="Z28:Z40" si="15">Q28</f>
        <v>111</v>
      </c>
      <c r="AA28" s="1508">
        <f t="shared" si="3"/>
        <v>1</v>
      </c>
      <c r="AB28" s="1508">
        <f t="shared" si="4"/>
        <v>1</v>
      </c>
      <c r="AC28" s="1508">
        <f t="shared" si="5"/>
        <v>1</v>
      </c>
    </row>
    <row r="29" spans="1:29" ht="15">
      <c r="A29" s="2622" t="s">
        <v>2735</v>
      </c>
      <c r="B29" s="170" t="s">
        <v>774</v>
      </c>
      <c r="C29" s="903"/>
      <c r="D29" s="591">
        <v>100</v>
      </c>
      <c r="E29" s="903"/>
      <c r="F29" s="569">
        <f>SUMIF(88:88,E29,89:89)-SUMIF(88:88,C29,89:89)+100</f>
        <v>100</v>
      </c>
      <c r="G29" s="903"/>
      <c r="H29" s="534">
        <f>SUMIF(88:88,G29,89:89)-SUMIF(88:88,C29,89:89)+100</f>
        <v>100</v>
      </c>
      <c r="I29" s="903"/>
      <c r="J29" s="591">
        <f>SUMIF(88:88,I29,89:89)-SUMIF(88:88,C29,89:89)+100</f>
        <v>100</v>
      </c>
      <c r="K29" s="578"/>
      <c r="L29" s="2022"/>
      <c r="M29" s="2014"/>
      <c r="N29" s="2014"/>
      <c r="O29" s="2021"/>
      <c r="P29" s="3518" t="s">
        <v>544</v>
      </c>
      <c r="Q29" s="1504" t="str">
        <f t="shared" si="11"/>
        <v>建筑类型</v>
      </c>
      <c r="R29" s="1505" t="s">
        <v>8</v>
      </c>
      <c r="S29" s="1506">
        <f t="shared" si="12"/>
        <v>100</v>
      </c>
      <c r="T29" s="1505" t="s">
        <v>8</v>
      </c>
      <c r="U29" s="1506">
        <f t="shared" si="13"/>
        <v>100</v>
      </c>
      <c r="V29" s="1505" t="s">
        <v>8</v>
      </c>
      <c r="W29" s="1506">
        <f t="shared" si="14"/>
        <v>100</v>
      </c>
      <c r="X29" s="1499"/>
      <c r="Y29" s="3519"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519"/>
      <c r="Q30" s="1533" t="str">
        <f t="shared" si="11"/>
        <v>项目建筑规模</v>
      </c>
      <c r="R30" s="1509" t="s">
        <v>8</v>
      </c>
      <c r="S30" s="1510" t="e">
        <f t="shared" si="12"/>
        <v>#N/A</v>
      </c>
      <c r="T30" s="1509" t="s">
        <v>8</v>
      </c>
      <c r="U30" s="1510" t="e">
        <f t="shared" si="13"/>
        <v>#N/A</v>
      </c>
      <c r="V30" s="1509" t="s">
        <v>8</v>
      </c>
      <c r="W30" s="1510" t="e">
        <f t="shared" si="14"/>
        <v>#N/A</v>
      </c>
      <c r="X30" s="1511"/>
      <c r="Y30" s="3519"/>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519"/>
      <c r="Q31" s="1504" t="str">
        <f t="shared" si="11"/>
        <v>建筑结构</v>
      </c>
      <c r="R31" s="1505" t="s">
        <v>8</v>
      </c>
      <c r="S31" s="1506">
        <f t="shared" si="12"/>
        <v>100</v>
      </c>
      <c r="T31" s="1505" t="s">
        <v>8</v>
      </c>
      <c r="U31" s="1506">
        <f t="shared" si="13"/>
        <v>100</v>
      </c>
      <c r="V31" s="1505" t="s">
        <v>8</v>
      </c>
      <c r="W31" s="1506">
        <f t="shared" si="14"/>
        <v>100</v>
      </c>
      <c r="X31" s="1499"/>
      <c r="Y31" s="3519"/>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519"/>
      <c r="Q32" s="1504" t="str">
        <f t="shared" si="11"/>
        <v>公共部分装修</v>
      </c>
      <c r="R32" s="1505" t="s">
        <v>8</v>
      </c>
      <c r="S32" s="1506">
        <f t="shared" si="12"/>
        <v>100</v>
      </c>
      <c r="T32" s="1505" t="s">
        <v>8</v>
      </c>
      <c r="U32" s="1506">
        <f t="shared" si="13"/>
        <v>100</v>
      </c>
      <c r="V32" s="1505" t="s">
        <v>8</v>
      </c>
      <c r="W32" s="1506">
        <f t="shared" si="14"/>
        <v>100</v>
      </c>
      <c r="X32" s="1499"/>
      <c r="Y32" s="3519"/>
      <c r="Z32" s="1507" t="str">
        <f t="shared" si="15"/>
        <v>公共部分装修</v>
      </c>
      <c r="AA32" s="1508">
        <f t="shared" si="3"/>
        <v>1</v>
      </c>
      <c r="AB32" s="1508">
        <f t="shared" si="4"/>
        <v>1</v>
      </c>
      <c r="AC32" s="1508">
        <f t="shared" si="5"/>
        <v>1</v>
      </c>
    </row>
    <row r="33" spans="1:29" ht="15">
      <c r="A33" s="588"/>
      <c r="B33" s="521" t="s">
        <v>758</v>
      </c>
      <c r="C33" s="869"/>
      <c r="D33" s="534">
        <v>100</v>
      </c>
      <c r="E33" s="871"/>
      <c r="F33" s="569" t="e">
        <f>LOOKUP(E33,98:98,99:99)-LOOKUP(C33,98:98,99:99)+100</f>
        <v>#N/A</v>
      </c>
      <c r="G33" s="871"/>
      <c r="H33" s="569" t="e">
        <f>LOOKUP(G33,98:98,99:99)-LOOKUP(C33,98:98,99:99)+100</f>
        <v>#N/A</v>
      </c>
      <c r="I33" s="871"/>
      <c r="J33" s="534" t="e">
        <f>LOOKUP(I33,98:98,99:99)-LOOKUP(C33,98:98,99:99)+100</f>
        <v>#N/A</v>
      </c>
      <c r="K33" s="578"/>
      <c r="L33" s="2022"/>
      <c r="M33" s="2014"/>
      <c r="N33" s="2014"/>
      <c r="O33" s="2021"/>
      <c r="P33" s="3519"/>
      <c r="Q33" s="1504" t="str">
        <f t="shared" si="11"/>
        <v>成新度</v>
      </c>
      <c r="R33" s="1505" t="s">
        <v>8</v>
      </c>
      <c r="S33" s="1506" t="e">
        <f t="shared" si="12"/>
        <v>#N/A</v>
      </c>
      <c r="T33" s="1505" t="s">
        <v>8</v>
      </c>
      <c r="U33" s="1506" t="e">
        <f t="shared" si="13"/>
        <v>#N/A</v>
      </c>
      <c r="V33" s="1505" t="s">
        <v>8</v>
      </c>
      <c r="W33" s="1506" t="e">
        <f t="shared" si="14"/>
        <v>#N/A</v>
      </c>
      <c r="X33" s="1499"/>
      <c r="Y33" s="3519"/>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519"/>
      <c r="Q34" s="1132" t="str">
        <f t="shared" si="11"/>
        <v>物业管理</v>
      </c>
      <c r="R34" s="1500" t="s">
        <v>8</v>
      </c>
      <c r="S34" s="1501">
        <f t="shared" si="12"/>
        <v>100</v>
      </c>
      <c r="T34" s="1500" t="s">
        <v>8</v>
      </c>
      <c r="U34" s="1501">
        <f t="shared" si="13"/>
        <v>100</v>
      </c>
      <c r="V34" s="1500" t="s">
        <v>8</v>
      </c>
      <c r="W34" s="1501">
        <f t="shared" si="14"/>
        <v>100</v>
      </c>
      <c r="X34" s="1502"/>
      <c r="Y34" s="3519"/>
      <c r="Z34" s="1131" t="str">
        <f t="shared" si="15"/>
        <v>物业管理</v>
      </c>
      <c r="AA34" s="1503">
        <f t="shared" si="3"/>
        <v>1</v>
      </c>
      <c r="AB34" s="1503">
        <f t="shared" si="4"/>
        <v>1</v>
      </c>
      <c r="AC34" s="1503">
        <f t="shared" si="5"/>
        <v>1</v>
      </c>
    </row>
    <row r="35" spans="1:29" ht="15">
      <c r="A35" s="588"/>
      <c r="B35" s="1807"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519" t="s">
        <v>544</v>
      </c>
      <c r="Q35" s="1504" t="str">
        <f t="shared" si="11"/>
        <v>市政基础设施</v>
      </c>
      <c r="R35" s="1505" t="s">
        <v>8</v>
      </c>
      <c r="S35" s="1506">
        <f t="shared" si="12"/>
        <v>100</v>
      </c>
      <c r="T35" s="1505" t="s">
        <v>8</v>
      </c>
      <c r="U35" s="1506">
        <f t="shared" si="13"/>
        <v>100</v>
      </c>
      <c r="V35" s="1505" t="s">
        <v>8</v>
      </c>
      <c r="W35" s="1506">
        <f t="shared" si="14"/>
        <v>100</v>
      </c>
      <c r="X35" s="1499"/>
      <c r="Y35" s="3519"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519"/>
      <c r="Q36" s="1504" t="str">
        <f t="shared" si="11"/>
        <v>内部装修</v>
      </c>
      <c r="R36" s="1505" t="s">
        <v>8</v>
      </c>
      <c r="S36" s="1506">
        <f t="shared" si="12"/>
        <v>100</v>
      </c>
      <c r="T36" s="1505" t="s">
        <v>8</v>
      </c>
      <c r="U36" s="1506">
        <f t="shared" si="13"/>
        <v>100</v>
      </c>
      <c r="V36" s="1505" t="s">
        <v>8</v>
      </c>
      <c r="W36" s="1506">
        <f t="shared" si="14"/>
        <v>100</v>
      </c>
      <c r="X36" s="1499"/>
      <c r="Y36" s="3519"/>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519"/>
      <c r="Q37" s="1504" t="str">
        <f t="shared" si="11"/>
        <v>内部装修状况</v>
      </c>
      <c r="R37" s="1505" t="s">
        <v>8</v>
      </c>
      <c r="S37" s="1506">
        <f t="shared" si="12"/>
        <v>100</v>
      </c>
      <c r="T37" s="1505" t="s">
        <v>8</v>
      </c>
      <c r="U37" s="1506">
        <f t="shared" si="13"/>
        <v>100</v>
      </c>
      <c r="V37" s="1505" t="s">
        <v>8</v>
      </c>
      <c r="W37" s="1506">
        <f t="shared" si="14"/>
        <v>100</v>
      </c>
      <c r="X37" s="1499"/>
      <c r="Y37" s="3519"/>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519"/>
      <c r="Q38" s="1533">
        <f t="shared" si="11"/>
        <v>111</v>
      </c>
      <c r="R38" s="1509" t="s">
        <v>8</v>
      </c>
      <c r="S38" s="1510">
        <f t="shared" si="12"/>
        <v>100</v>
      </c>
      <c r="T38" s="1509" t="s">
        <v>8</v>
      </c>
      <c r="U38" s="1510">
        <f t="shared" si="13"/>
        <v>100</v>
      </c>
      <c r="V38" s="1509" t="s">
        <v>8</v>
      </c>
      <c r="W38" s="1510">
        <f t="shared" si="14"/>
        <v>100</v>
      </c>
      <c r="X38" s="1511"/>
      <c r="Y38" s="3519"/>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519"/>
      <c r="Q39" s="1504">
        <f t="shared" si="11"/>
        <v>111</v>
      </c>
      <c r="R39" s="1505" t="s">
        <v>8</v>
      </c>
      <c r="S39" s="1506">
        <f t="shared" si="12"/>
        <v>100</v>
      </c>
      <c r="T39" s="1505" t="s">
        <v>8</v>
      </c>
      <c r="U39" s="1506">
        <f t="shared" si="13"/>
        <v>100</v>
      </c>
      <c r="V39" s="1505" t="s">
        <v>8</v>
      </c>
      <c r="W39" s="1506">
        <f t="shared" si="14"/>
        <v>100</v>
      </c>
      <c r="X39" s="1499"/>
      <c r="Y39" s="3519"/>
      <c r="Z39" s="1507">
        <f t="shared" si="15"/>
        <v>111</v>
      </c>
      <c r="AA39" s="1508">
        <f t="shared" si="3"/>
        <v>1</v>
      </c>
      <c r="AB39" s="1508">
        <f t="shared" si="4"/>
        <v>1</v>
      </c>
      <c r="AC39" s="1508">
        <f t="shared" si="5"/>
        <v>1</v>
      </c>
    </row>
    <row r="40" spans="1:29" ht="15.75" thickBot="1">
      <c r="A40" s="874"/>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601"/>
      <c r="Q40" s="1504">
        <f t="shared" si="11"/>
        <v>111</v>
      </c>
      <c r="R40" s="1505" t="s">
        <v>8</v>
      </c>
      <c r="S40" s="1506">
        <f t="shared" si="12"/>
        <v>100</v>
      </c>
      <c r="T40" s="1505" t="s">
        <v>8</v>
      </c>
      <c r="U40" s="1506">
        <f t="shared" si="13"/>
        <v>100</v>
      </c>
      <c r="V40" s="1505" t="s">
        <v>8</v>
      </c>
      <c r="W40" s="1506">
        <f t="shared" si="14"/>
        <v>100</v>
      </c>
      <c r="X40" s="1499"/>
      <c r="Y40" s="3601"/>
      <c r="Z40" s="1507">
        <f t="shared" si="15"/>
        <v>111</v>
      </c>
      <c r="AA40" s="1508">
        <f t="shared" si="3"/>
        <v>1</v>
      </c>
      <c r="AB40" s="1508">
        <f t="shared" si="4"/>
        <v>1</v>
      </c>
      <c r="AC40" s="1508">
        <f t="shared" si="5"/>
        <v>1</v>
      </c>
    </row>
    <row r="41" spans="1:29" ht="15">
      <c r="A41" s="601" t="s">
        <v>730</v>
      </c>
      <c r="B41" s="875"/>
      <c r="C41" s="2468" t="s">
        <v>1</v>
      </c>
      <c r="D41" s="2469"/>
      <c r="E41" s="2470"/>
      <c r="F41" s="2471"/>
      <c r="G41" s="2472"/>
      <c r="H41" s="2473"/>
      <c r="I41" s="2470"/>
      <c r="J41" s="2473"/>
      <c r="K41" s="1538"/>
      <c r="L41" s="2024"/>
      <c r="M41" s="2025"/>
      <c r="N41" s="2014"/>
      <c r="O41" s="2025"/>
      <c r="P41" s="3482" t="str">
        <f>A41</f>
        <v>成交单价（元/平方米）</v>
      </c>
      <c r="Q41" s="3482"/>
      <c r="R41" s="3602">
        <f>E41</f>
        <v>0</v>
      </c>
      <c r="S41" s="3602"/>
      <c r="T41" s="3602">
        <f>G41</f>
        <v>0</v>
      </c>
      <c r="U41" s="3602"/>
      <c r="V41" s="3602">
        <f>I41</f>
        <v>0</v>
      </c>
      <c r="W41" s="3602"/>
      <c r="X41" s="1494"/>
      <c r="Y41" s="1513"/>
      <c r="Z41" s="1494"/>
      <c r="AA41" s="1494"/>
      <c r="AB41" s="1494"/>
      <c r="AC41" s="1494"/>
    </row>
    <row r="42" spans="1:29" ht="15.75" thickBot="1">
      <c r="A42" s="609" t="s">
        <v>2740</v>
      </c>
      <c r="B42" s="876"/>
      <c r="C42" s="2474" t="e">
        <f>R43</f>
        <v>#DIV/0!</v>
      </c>
      <c r="D42" s="3010" t="s">
        <v>2960</v>
      </c>
      <c r="E42" s="2475" t="e">
        <f>R42</f>
        <v>#DIV/0!</v>
      </c>
      <c r="F42" s="3011"/>
      <c r="G42" s="2474" t="e">
        <f>T42</f>
        <v>#DIV/0!</v>
      </c>
      <c r="H42" s="3011"/>
      <c r="I42" s="2475" t="e">
        <f>V42</f>
        <v>#DIV/0!</v>
      </c>
      <c r="J42" s="3011"/>
      <c r="K42" s="3019">
        <f>F42+H42+J42</f>
        <v>0</v>
      </c>
      <c r="L42" s="2024"/>
      <c r="M42" s="2025"/>
      <c r="N42" s="2014"/>
      <c r="O42" s="2025"/>
      <c r="P42" s="3482" t="str">
        <f>A42</f>
        <v>比较价格（元/平方米）</v>
      </c>
      <c r="Q42" s="3482"/>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494"/>
      <c r="Y42" s="1494"/>
      <c r="Z42" s="1494"/>
      <c r="AA42" s="1494"/>
      <c r="AB42" s="1494"/>
      <c r="AC42" s="1494"/>
    </row>
    <row r="43" spans="1:29" ht="15.75" thickBot="1">
      <c r="A43" s="613" t="s">
        <v>2892</v>
      </c>
      <c r="B43" s="614"/>
      <c r="C43" s="2476" t="e">
        <f>R43</f>
        <v>#DIV/0!</v>
      </c>
      <c r="D43" s="2476"/>
      <c r="E43" s="2476"/>
      <c r="F43" s="2476"/>
      <c r="G43" s="2476"/>
      <c r="H43" s="2476"/>
      <c r="I43" s="2476"/>
      <c r="J43" s="2476"/>
      <c r="K43" s="1539"/>
      <c r="L43" s="2024"/>
      <c r="M43" s="2025"/>
      <c r="N43" s="2025"/>
      <c r="O43" s="2025"/>
      <c r="P43" s="3479" t="str">
        <f>A43</f>
        <v>估价对象XX用房的比较价格（楼面单价，元/平方米）</v>
      </c>
      <c r="Q43" s="3480"/>
      <c r="R43" s="3603" t="e">
        <f>IF(F1="售价",ROUND(IF(D42="简单平均",AVERAGE(R42:V42),R42*F42+T42*H42+V42*J42),0),ROUND(IF(D42="简单平均",AVERAGE(R42:V42),R42*F42+T42*H42+V42*J42),1))</f>
        <v>#DIV/0!</v>
      </c>
      <c r="S43" s="3603"/>
      <c r="T43" s="3603"/>
      <c r="U43" s="3603"/>
      <c r="V43" s="3603"/>
      <c r="W43" s="3603"/>
      <c r="X43" s="1494"/>
      <c r="Y43" s="1494"/>
      <c r="Z43" s="1494"/>
      <c r="AA43" s="1494"/>
      <c r="AB43" s="1494"/>
      <c r="AC43" s="1494"/>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7" t="s">
        <v>523</v>
      </c>
      <c r="B52" s="638"/>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7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5">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5.75"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7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75" thickTop="1">
      <c r="A74" s="661"/>
      <c r="B74" s="1808" t="s">
        <v>2538</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75" thickTop="1">
      <c r="A76" s="661"/>
      <c r="B76" s="2439" t="s">
        <v>2539</v>
      </c>
      <c r="C76" s="2440" t="s">
        <v>2540</v>
      </c>
      <c r="D76" s="2440" t="s">
        <v>2541</v>
      </c>
      <c r="E76" s="2440" t="s">
        <v>2542</v>
      </c>
      <c r="F76" s="2440" t="s">
        <v>2543</v>
      </c>
      <c r="G76" s="2440" t="s">
        <v>2544</v>
      </c>
      <c r="H76" s="922"/>
      <c r="I76" s="922"/>
      <c r="J76" s="922"/>
      <c r="K76" s="922"/>
      <c r="L76" s="922"/>
      <c r="M76" s="553"/>
      <c r="N76" s="2045"/>
      <c r="O76" s="2045"/>
      <c r="P76" s="2044"/>
      <c r="Q76" s="2037"/>
      <c r="R76" s="2025"/>
      <c r="S76" s="2025"/>
      <c r="T76" s="2025"/>
      <c r="U76" s="2025"/>
      <c r="V76" s="2025"/>
      <c r="W76" s="2025"/>
      <c r="X76" s="2025"/>
      <c r="Y76" s="2025"/>
      <c r="Z76" s="2025"/>
      <c r="AA76" s="2025"/>
      <c r="AB76" s="2025"/>
      <c r="AC76" s="2025"/>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1"/>
      <c r="B80" s="665">
        <f>B25</f>
        <v>111</v>
      </c>
      <c r="C80" s="680"/>
      <c r="D80" s="680"/>
      <c r="E80" s="680"/>
      <c r="F80" s="680"/>
      <c r="G80" s="680"/>
      <c r="H80" s="680"/>
      <c r="I80" s="680"/>
      <c r="J80" s="680"/>
      <c r="K80" s="680"/>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1"/>
      <c r="B82" s="665">
        <f>B26</f>
        <v>111</v>
      </c>
      <c r="C82" s="680"/>
      <c r="D82" s="680"/>
      <c r="E82" s="680"/>
      <c r="F82" s="680"/>
      <c r="G82" s="680"/>
      <c r="H82" s="680"/>
      <c r="I82" s="680"/>
      <c r="J82" s="680"/>
      <c r="K82" s="680"/>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9"/>
      <c r="B84" s="665">
        <f>B27</f>
        <v>111</v>
      </c>
      <c r="C84" s="680"/>
      <c r="D84" s="680"/>
      <c r="E84" s="680"/>
      <c r="F84" s="680"/>
      <c r="G84" s="680"/>
      <c r="H84" s="680"/>
      <c r="I84" s="680"/>
      <c r="J84" s="680"/>
      <c r="K84" s="680"/>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5.75"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5.75" thickBot="1">
      <c r="A87" s="881"/>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2">
        <v>0.5</v>
      </c>
      <c r="D98" s="882">
        <v>0.6</v>
      </c>
      <c r="E98" s="882">
        <v>0.7</v>
      </c>
      <c r="F98" s="882">
        <v>0.8</v>
      </c>
      <c r="G98" s="882">
        <v>0.9</v>
      </c>
      <c r="H98" s="882">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2537</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7.75" thickTop="1">
      <c r="A106" s="727"/>
      <c r="B106" s="904"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5"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5"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1" sqref="U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IF(B37="元/平方米",C39,ROUND(B2*10000/D3,0))</f>
        <v>#DIV/0!</v>
      </c>
      <c r="C3" s="841" t="s">
        <v>790</v>
      </c>
      <c r="D3" s="840">
        <f>SUMIF('数据-汇总表'!$C19:$C33,D1,'数据-汇总表'!$E19:$E33)</f>
        <v>0</v>
      </c>
      <c r="E3" s="1760" t="s">
        <v>2065</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488" t="s">
        <v>792</v>
      </c>
      <c r="D4" s="3489"/>
      <c r="E4" s="3488" t="s">
        <v>793</v>
      </c>
      <c r="F4" s="3489"/>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ht="15">
      <c r="A5" s="509"/>
      <c r="B5" s="510"/>
      <c r="C5" s="3504" t="s">
        <v>2886</v>
      </c>
      <c r="D5" s="3505"/>
      <c r="E5" s="3504" t="s">
        <v>2887</v>
      </c>
      <c r="F5" s="350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06" t="s">
        <v>2890</v>
      </c>
      <c r="F6" s="3507"/>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SUMIF(48:48,YEAR(E7)&amp;"-"&amp;MONTH(E7),49:49)</f>
        <v>0</v>
      </c>
      <c r="G7" s="517"/>
      <c r="H7" s="514">
        <f>SUMIF(48:48,YEAR(G7)&amp;"-"&amp;MONTH(G7),49:49)</f>
        <v>0</v>
      </c>
      <c r="I7" s="517"/>
      <c r="J7" s="514">
        <f>SUMIF(48:48,YEAR(I7)&amp;"-"&amp;MONTH(I7),49:49)</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6" si="3">D8/F8</f>
        <v>#DIV/0!</v>
      </c>
      <c r="AB8" s="1503" t="e">
        <f t="shared" ref="AB8:AB36" si="4">D8/H8</f>
        <v>#DIV/0!</v>
      </c>
      <c r="AC8" s="1503" t="e">
        <f t="shared" ref="AC8:AC36" si="5">D8/J8</f>
        <v>#DIV/0!</v>
      </c>
    </row>
    <row r="9" spans="1:29" s="1201" customFormat="1" ht="15">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85.5">
      <c r="A14" s="2625" t="s">
        <v>2734</v>
      </c>
      <c r="B14" s="541" t="s">
        <v>537</v>
      </c>
      <c r="C14" s="908"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09"/>
      <c r="B15" s="911"/>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912">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09"/>
      <c r="B24" s="912">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517"/>
      <c r="Q24" s="1504">
        <f t="shared" ref="Q24:Q36"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75" thickBot="1">
      <c r="A25" s="571"/>
      <c r="B25" s="901">
        <v>111</v>
      </c>
      <c r="C25" s="539"/>
      <c r="D25" s="913">
        <v>100</v>
      </c>
      <c r="E25" s="898"/>
      <c r="F25" s="914">
        <f>SUMIF(77:77,E25,78:78)-SUMIF(77:77,C25,78:78)+100</f>
        <v>100</v>
      </c>
      <c r="G25" s="898"/>
      <c r="H25" s="913">
        <f>SUMIF(77:77,G25,78:78)-SUMIF(77:77,C25,78:78)+100</f>
        <v>100</v>
      </c>
      <c r="I25" s="898"/>
      <c r="J25" s="913">
        <f>SUMIF(77:77,I25,78:78)-SUMIF(77:77,C25,78:78)+100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68" t="s">
        <v>800</v>
      </c>
      <c r="C26" s="915">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518"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19" t="s">
        <v>544</v>
      </c>
      <c r="Z26" s="1507" t="str">
        <f t="shared" ref="Z26:Z36" si="15">Q26</f>
        <v>配套类型</v>
      </c>
      <c r="AA26" s="1508">
        <f t="shared" si="3"/>
        <v>1</v>
      </c>
      <c r="AB26" s="1508">
        <f t="shared" si="4"/>
        <v>1</v>
      </c>
      <c r="AC26" s="1508">
        <f t="shared" si="5"/>
        <v>1</v>
      </c>
    </row>
    <row r="27" spans="1:29" s="1291" customFormat="1" ht="15">
      <c r="A27" s="916"/>
      <c r="B27" s="576" t="s">
        <v>801</v>
      </c>
      <c r="C27" s="917"/>
      <c r="D27" s="253">
        <v>100</v>
      </c>
      <c r="E27" s="917"/>
      <c r="F27" s="569">
        <f>SUMIF(81:81,E27,82:82)-SUMIF(81:81,C27,82:82)+100</f>
        <v>100</v>
      </c>
      <c r="G27" s="917"/>
      <c r="H27" s="534">
        <f>SUMIF(81:81,G27,82:82)-SUMIF(81:81,C27,82:82)+100</f>
        <v>100</v>
      </c>
      <c r="I27" s="917"/>
      <c r="J27" s="534">
        <f>SUMIF(81:81,I27,82:82)-SUMIF(81:81,C27,82:82)+100</f>
        <v>100</v>
      </c>
      <c r="K27" s="575"/>
      <c r="L27" s="2020"/>
      <c r="M27" s="2050"/>
      <c r="N27" s="2050"/>
      <c r="O27" s="2023"/>
      <c r="P27" s="3519"/>
      <c r="Q27" s="1533" t="str">
        <f t="shared" si="11"/>
        <v>项目停车位配比</v>
      </c>
      <c r="R27" s="1509" t="s">
        <v>8</v>
      </c>
      <c r="S27" s="1510">
        <f t="shared" si="12"/>
        <v>100</v>
      </c>
      <c r="T27" s="1509" t="s">
        <v>8</v>
      </c>
      <c r="U27" s="1510">
        <f t="shared" si="13"/>
        <v>100</v>
      </c>
      <c r="V27" s="1509" t="s">
        <v>8</v>
      </c>
      <c r="W27" s="1510">
        <f t="shared" si="14"/>
        <v>100</v>
      </c>
      <c r="X27" s="1511"/>
      <c r="Y27" s="3519"/>
      <c r="Z27" s="1512" t="str">
        <f t="shared" si="15"/>
        <v>项目停车位配比</v>
      </c>
      <c r="AA27" s="1508">
        <f t="shared" si="3"/>
        <v>1</v>
      </c>
      <c r="AB27" s="1508">
        <f t="shared" si="4"/>
        <v>1</v>
      </c>
      <c r="AC27" s="1508">
        <f t="shared" si="5"/>
        <v>1</v>
      </c>
    </row>
    <row r="28" spans="1:29" ht="15">
      <c r="A28" s="918"/>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519"/>
      <c r="Q28" s="1504" t="str">
        <f t="shared" si="11"/>
        <v>公共部分装修</v>
      </c>
      <c r="R28" s="1505" t="s">
        <v>8</v>
      </c>
      <c r="S28" s="1506">
        <f t="shared" si="12"/>
        <v>100</v>
      </c>
      <c r="T28" s="1505" t="s">
        <v>8</v>
      </c>
      <c r="U28" s="1506">
        <f t="shared" si="13"/>
        <v>100</v>
      </c>
      <c r="V28" s="1505" t="s">
        <v>8</v>
      </c>
      <c r="W28" s="1506">
        <f t="shared" si="14"/>
        <v>100</v>
      </c>
      <c r="X28" s="1499"/>
      <c r="Y28" s="3519"/>
      <c r="Z28" s="1507" t="str">
        <f t="shared" si="15"/>
        <v>公共部分装修</v>
      </c>
      <c r="AA28" s="1508">
        <f t="shared" si="3"/>
        <v>1</v>
      </c>
      <c r="AB28" s="1508">
        <f t="shared" si="4"/>
        <v>1</v>
      </c>
      <c r="AC28" s="1508">
        <f t="shared" si="5"/>
        <v>1</v>
      </c>
    </row>
    <row r="29" spans="1:29" ht="15">
      <c r="A29" s="918"/>
      <c r="B29" s="576" t="s">
        <v>803</v>
      </c>
      <c r="C29" s="869"/>
      <c r="D29" s="534">
        <v>100</v>
      </c>
      <c r="E29" s="871"/>
      <c r="F29" s="569" t="e">
        <f>LOOKUP(E29,86:86,87:87)-LOOKUP(C29,86:86,87:87)+100</f>
        <v>#N/A</v>
      </c>
      <c r="G29" s="871"/>
      <c r="H29" s="569" t="e">
        <f>LOOKUP(G29,86:86,87:87)-LOOKUP(C29,86:86,87:87)+100</f>
        <v>#N/A</v>
      </c>
      <c r="I29" s="871"/>
      <c r="J29" s="534" t="e">
        <f>LOOKUP(I29,86:86,87:87)-LOOKUP(C29,86:86,87:87)+100</f>
        <v>#N/A</v>
      </c>
      <c r="K29" s="578"/>
      <c r="L29" s="2022"/>
      <c r="M29" s="2014"/>
      <c r="N29" s="2014"/>
      <c r="O29" s="2021"/>
      <c r="P29" s="3519"/>
      <c r="Q29" s="1504" t="str">
        <f t="shared" si="11"/>
        <v>成新率</v>
      </c>
      <c r="R29" s="1505" t="s">
        <v>8</v>
      </c>
      <c r="S29" s="1506" t="e">
        <f t="shared" si="12"/>
        <v>#N/A</v>
      </c>
      <c r="T29" s="1505" t="s">
        <v>8</v>
      </c>
      <c r="U29" s="1506" t="e">
        <f t="shared" si="13"/>
        <v>#N/A</v>
      </c>
      <c r="V29" s="1505" t="s">
        <v>8</v>
      </c>
      <c r="W29" s="1506" t="e">
        <f t="shared" si="14"/>
        <v>#N/A</v>
      </c>
      <c r="X29" s="1499"/>
      <c r="Y29" s="3519"/>
      <c r="Z29" s="1507" t="str">
        <f t="shared" si="15"/>
        <v>成新率</v>
      </c>
      <c r="AA29" s="1508" t="e">
        <f t="shared" si="3"/>
        <v>#N/A</v>
      </c>
      <c r="AB29" s="1508" t="e">
        <f t="shared" si="4"/>
        <v>#N/A</v>
      </c>
      <c r="AC29" s="1508" t="e">
        <f t="shared" si="5"/>
        <v>#N/A</v>
      </c>
    </row>
    <row r="30" spans="1:29" ht="15">
      <c r="A30" s="918"/>
      <c r="B30" s="576" t="s">
        <v>804</v>
      </c>
      <c r="C30" s="919"/>
      <c r="D30" s="534">
        <v>100</v>
      </c>
      <c r="E30" s="919"/>
      <c r="F30" s="569">
        <f>SUMIF(88:88,E30,89:89)-SUMIF(88:88,C30,89:89)+100</f>
        <v>100</v>
      </c>
      <c r="G30" s="919"/>
      <c r="H30" s="534">
        <f>SUMIF(88:88,E30,89:89)-SUMIF(88:88,C30,89:89)+100</f>
        <v>100</v>
      </c>
      <c r="I30" s="919"/>
      <c r="J30" s="534">
        <f>SUMIF(88:88,E30,89:89)-SUMIF(88:88,C30,89:89)+100</f>
        <v>100</v>
      </c>
      <c r="K30" s="578"/>
      <c r="L30" s="2022"/>
      <c r="M30" s="2014"/>
      <c r="N30" s="2014"/>
      <c r="O30" s="2021"/>
      <c r="P30" s="3519"/>
      <c r="Q30" s="1504" t="str">
        <f t="shared" si="11"/>
        <v>物业等级</v>
      </c>
      <c r="R30" s="1505" t="s">
        <v>8</v>
      </c>
      <c r="S30" s="1506">
        <f t="shared" si="12"/>
        <v>100</v>
      </c>
      <c r="T30" s="1505" t="s">
        <v>8</v>
      </c>
      <c r="U30" s="1506">
        <f t="shared" si="13"/>
        <v>100</v>
      </c>
      <c r="V30" s="1505" t="s">
        <v>8</v>
      </c>
      <c r="W30" s="1506">
        <f t="shared" si="14"/>
        <v>100</v>
      </c>
      <c r="X30" s="1499"/>
      <c r="Y30" s="3519"/>
      <c r="Z30" s="1507" t="str">
        <f t="shared" si="15"/>
        <v>物业等级</v>
      </c>
      <c r="AA30" s="1508">
        <f t="shared" si="3"/>
        <v>1</v>
      </c>
      <c r="AB30" s="1508">
        <f t="shared" si="4"/>
        <v>1</v>
      </c>
      <c r="AC30" s="1508">
        <f t="shared" si="5"/>
        <v>1</v>
      </c>
    </row>
    <row r="31" spans="1:29" s="1201" customFormat="1" ht="15">
      <c r="A31" s="920"/>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519"/>
      <c r="Q31" s="1132" t="str">
        <f t="shared" si="11"/>
        <v>停车位面积</v>
      </c>
      <c r="R31" s="1500" t="s">
        <v>8</v>
      </c>
      <c r="S31" s="1501" t="e">
        <f t="shared" si="12"/>
        <v>#N/A</v>
      </c>
      <c r="T31" s="1500" t="s">
        <v>8</v>
      </c>
      <c r="U31" s="1501" t="e">
        <f t="shared" si="13"/>
        <v>#N/A</v>
      </c>
      <c r="V31" s="1500" t="s">
        <v>8</v>
      </c>
      <c r="W31" s="1501" t="e">
        <f t="shared" si="14"/>
        <v>#N/A</v>
      </c>
      <c r="X31" s="1502"/>
      <c r="Y31" s="3519"/>
      <c r="Z31" s="1131" t="str">
        <f t="shared" si="15"/>
        <v>停车位面积</v>
      </c>
      <c r="AA31" s="1503" t="e">
        <f t="shared" si="3"/>
        <v>#N/A</v>
      </c>
      <c r="AB31" s="1503" t="e">
        <f t="shared" si="4"/>
        <v>#N/A</v>
      </c>
      <c r="AC31" s="1503" t="e">
        <f t="shared" si="5"/>
        <v>#N/A</v>
      </c>
    </row>
    <row r="32" spans="1:29" ht="15">
      <c r="A32" s="918"/>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519" t="s">
        <v>544</v>
      </c>
      <c r="Q32" s="1504" t="str">
        <f t="shared" si="11"/>
        <v>车位类型</v>
      </c>
      <c r="R32" s="1505" t="s">
        <v>8</v>
      </c>
      <c r="S32" s="1506">
        <f t="shared" si="12"/>
        <v>100</v>
      </c>
      <c r="T32" s="1505" t="s">
        <v>8</v>
      </c>
      <c r="U32" s="1506">
        <f t="shared" si="13"/>
        <v>100</v>
      </c>
      <c r="V32" s="1505" t="s">
        <v>8</v>
      </c>
      <c r="W32" s="1506">
        <f t="shared" si="14"/>
        <v>100</v>
      </c>
      <c r="X32" s="1499"/>
      <c r="Y32" s="3519" t="s">
        <v>544</v>
      </c>
      <c r="Z32" s="1507" t="str">
        <f t="shared" si="15"/>
        <v>车位类型</v>
      </c>
      <c r="AA32" s="1508">
        <f t="shared" si="3"/>
        <v>1</v>
      </c>
      <c r="AB32" s="1508">
        <f t="shared" si="4"/>
        <v>1</v>
      </c>
      <c r="AC32" s="1508">
        <f t="shared" si="5"/>
        <v>1</v>
      </c>
    </row>
    <row r="33" spans="1:29" ht="15">
      <c r="A33" s="918"/>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519"/>
      <c r="Q33" s="1504" t="str">
        <f t="shared" si="11"/>
        <v>是否直接入户</v>
      </c>
      <c r="R33" s="1505" t="s">
        <v>8</v>
      </c>
      <c r="S33" s="1506">
        <f t="shared" si="12"/>
        <v>100</v>
      </c>
      <c r="T33" s="1505" t="s">
        <v>8</v>
      </c>
      <c r="U33" s="1506">
        <f t="shared" si="13"/>
        <v>100</v>
      </c>
      <c r="V33" s="1505" t="s">
        <v>8</v>
      </c>
      <c r="W33" s="1506">
        <f t="shared" si="14"/>
        <v>100</v>
      </c>
      <c r="X33" s="1499"/>
      <c r="Y33" s="3519"/>
      <c r="Z33" s="1507" t="str">
        <f t="shared" si="15"/>
        <v>是否直接入户</v>
      </c>
      <c r="AA33" s="1508">
        <f t="shared" si="3"/>
        <v>1</v>
      </c>
      <c r="AB33" s="1508">
        <f t="shared" si="4"/>
        <v>1</v>
      </c>
      <c r="AC33" s="1508">
        <f t="shared" si="5"/>
        <v>1</v>
      </c>
    </row>
    <row r="34" spans="1:29" ht="15">
      <c r="A34" s="918"/>
      <c r="B34" s="912">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s="1291" customFormat="1" ht="15">
      <c r="A35" s="916"/>
      <c r="B35" s="912">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519"/>
      <c r="Q35" s="1533">
        <f t="shared" si="11"/>
        <v>111</v>
      </c>
      <c r="R35" s="1509" t="s">
        <v>8</v>
      </c>
      <c r="S35" s="1510">
        <f t="shared" si="12"/>
        <v>100</v>
      </c>
      <c r="T35" s="1509" t="s">
        <v>8</v>
      </c>
      <c r="U35" s="1510">
        <f t="shared" si="13"/>
        <v>100</v>
      </c>
      <c r="V35" s="1509" t="s">
        <v>8</v>
      </c>
      <c r="W35" s="1510">
        <f t="shared" si="14"/>
        <v>100</v>
      </c>
      <c r="X35" s="1511"/>
      <c r="Y35" s="3519"/>
      <c r="Z35" s="1512">
        <f t="shared" si="15"/>
        <v>111</v>
      </c>
      <c r="AA35" s="1508">
        <f t="shared" si="3"/>
        <v>1</v>
      </c>
      <c r="AB35" s="1508">
        <f t="shared" si="4"/>
        <v>1</v>
      </c>
      <c r="AC35" s="1508">
        <f t="shared" si="5"/>
        <v>1</v>
      </c>
    </row>
    <row r="36" spans="1:29" ht="15.75" thickBot="1">
      <c r="A36" s="921"/>
      <c r="B36" s="901">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519"/>
      <c r="Q36" s="1504">
        <f t="shared" si="11"/>
        <v>111</v>
      </c>
      <c r="R36" s="1505" t="s">
        <v>8</v>
      </c>
      <c r="S36" s="1506">
        <f t="shared" si="12"/>
        <v>100</v>
      </c>
      <c r="T36" s="1505" t="s">
        <v>8</v>
      </c>
      <c r="U36" s="1506">
        <f t="shared" si="13"/>
        <v>100</v>
      </c>
      <c r="V36" s="1505" t="s">
        <v>8</v>
      </c>
      <c r="W36" s="1506">
        <f t="shared" si="14"/>
        <v>100</v>
      </c>
      <c r="X36" s="1499"/>
      <c r="Y36" s="3519"/>
      <c r="Z36" s="1507">
        <f t="shared" si="15"/>
        <v>111</v>
      </c>
      <c r="AA36" s="1508">
        <f t="shared" si="3"/>
        <v>1</v>
      </c>
      <c r="AB36" s="1508">
        <f t="shared" si="4"/>
        <v>1</v>
      </c>
      <c r="AC36" s="1508">
        <f t="shared" si="5"/>
        <v>1</v>
      </c>
    </row>
    <row r="37" spans="1:29" ht="15">
      <c r="A37" s="1758" t="s">
        <v>2066</v>
      </c>
      <c r="B37" s="1759" t="s">
        <v>2067</v>
      </c>
      <c r="C37" s="2468" t="s">
        <v>1</v>
      </c>
      <c r="D37" s="2469"/>
      <c r="E37" s="2470"/>
      <c r="F37" s="2471"/>
      <c r="G37" s="2472"/>
      <c r="H37" s="2473"/>
      <c r="I37" s="2470"/>
      <c r="J37" s="2473"/>
      <c r="K37" s="1538"/>
      <c r="L37" s="2024"/>
      <c r="M37" s="2025"/>
      <c r="N37" s="2014"/>
      <c r="O37" s="2025"/>
      <c r="P37" s="3482" t="str">
        <f>A37</f>
        <v>成交单价</v>
      </c>
      <c r="Q37" s="3482"/>
      <c r="R37" s="3602">
        <f>E37</f>
        <v>0</v>
      </c>
      <c r="S37" s="3602"/>
      <c r="T37" s="3602">
        <f>G37</f>
        <v>0</v>
      </c>
      <c r="U37" s="3602"/>
      <c r="V37" s="3602">
        <f>I37</f>
        <v>0</v>
      </c>
      <c r="W37" s="3602"/>
      <c r="X37" s="1494"/>
      <c r="Y37" s="1513"/>
      <c r="Z37" s="1494"/>
      <c r="AA37" s="1494"/>
      <c r="AB37" s="1494"/>
      <c r="AC37" s="1494"/>
    </row>
    <row r="38" spans="1:29" ht="15.75" thickBot="1">
      <c r="A38" s="609" t="s">
        <v>2740</v>
      </c>
      <c r="B38" s="876"/>
      <c r="C38" s="2474" t="e">
        <f>R39</f>
        <v>#DIV/0!</v>
      </c>
      <c r="D38" s="3010" t="s">
        <v>2960</v>
      </c>
      <c r="E38" s="2475" t="e">
        <f>R38</f>
        <v>#DIV/0!</v>
      </c>
      <c r="F38" s="3011"/>
      <c r="G38" s="2474" t="e">
        <f>T38</f>
        <v>#DIV/0!</v>
      </c>
      <c r="H38" s="3011"/>
      <c r="I38" s="2475" t="e">
        <f>V38</f>
        <v>#DIV/0!</v>
      </c>
      <c r="J38" s="3011"/>
      <c r="K38" s="3019">
        <f>F38+H38+J38</f>
        <v>0</v>
      </c>
      <c r="L38" s="2024"/>
      <c r="M38" s="2025"/>
      <c r="N38" s="2025"/>
      <c r="O38" s="2025"/>
      <c r="P38" s="3482" t="str">
        <f>A38</f>
        <v>比较价格（元/平方米）</v>
      </c>
      <c r="Q38" s="3482"/>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494"/>
      <c r="Y38" s="1494"/>
      <c r="Z38" s="1494"/>
      <c r="AA38" s="1494"/>
      <c r="AB38" s="1494"/>
      <c r="AC38" s="1494"/>
    </row>
    <row r="39" spans="1:29" ht="15.75" thickBot="1">
      <c r="A39" s="613" t="s">
        <v>2892</v>
      </c>
      <c r="B39" s="614"/>
      <c r="C39" s="2476" t="e">
        <f>R39</f>
        <v>#DIV/0!</v>
      </c>
      <c r="D39" s="2476"/>
      <c r="E39" s="2476"/>
      <c r="F39" s="2476"/>
      <c r="G39" s="2476"/>
      <c r="H39" s="2476"/>
      <c r="I39" s="2476"/>
      <c r="J39" s="2476"/>
      <c r="K39" s="1539"/>
      <c r="L39" s="2024"/>
      <c r="M39" s="2025"/>
      <c r="N39" s="2025"/>
      <c r="O39" s="2025"/>
      <c r="P39" s="3479" t="str">
        <f>A39</f>
        <v>估价对象XX用房的比较价格（楼面单价，元/平方米）</v>
      </c>
      <c r="Q39" s="3480"/>
      <c r="R39" s="3603" t="e">
        <f>IF(F1="售价",ROUND(IF(D38="简单平均",AVERAGE(R38:W38),R38*F38+T38*H38+V38*J38),0),ROUND(IF(D38="简单平均",AVERAGE(R38:V38),R38*F38+T38*H38+V38*J38),1))</f>
        <v>#DIV/0!</v>
      </c>
      <c r="S39" s="3603"/>
      <c r="T39" s="3603"/>
      <c r="U39" s="3603"/>
      <c r="V39" s="3603"/>
      <c r="W39" s="3603"/>
      <c r="X39" s="1494"/>
      <c r="Y39" s="1494"/>
      <c r="Z39" s="1494"/>
      <c r="AA39" s="1494"/>
      <c r="AB39" s="1494"/>
      <c r="AC39" s="1494"/>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7" t="s">
        <v>523</v>
      </c>
      <c r="B48" s="638"/>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7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5">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5.75"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5.75" thickTop="1">
      <c r="A57" s="661"/>
      <c r="B57" s="922">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1808" t="s">
        <v>2538</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5.75" thickBot="1">
      <c r="A68" s="661"/>
      <c r="B68" s="673"/>
      <c r="C68" s="671">
        <v>100</v>
      </c>
      <c r="D68" s="671">
        <f>C68-$K18</f>
        <v>100</v>
      </c>
      <c r="E68" s="671">
        <f>D68-$K18</f>
        <v>100</v>
      </c>
      <c r="F68" s="671">
        <f>E68-$K18</f>
        <v>100</v>
      </c>
      <c r="G68" s="671">
        <f>F68-$K18</f>
        <v>100</v>
      </c>
      <c r="H68" s="922"/>
      <c r="I68" s="922"/>
      <c r="J68" s="922"/>
      <c r="K68" s="922"/>
      <c r="L68" s="922"/>
      <c r="M68" s="553"/>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7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1"/>
      <c r="B73" s="665">
        <f>B23</f>
        <v>111</v>
      </c>
      <c r="C73" s="535"/>
      <c r="D73" s="535"/>
      <c r="E73" s="535"/>
      <c r="F73" s="535"/>
      <c r="G73" s="680"/>
      <c r="H73" s="680"/>
      <c r="I73" s="680"/>
      <c r="J73" s="680"/>
      <c r="K73" s="680"/>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1"/>
      <c r="B75" s="665">
        <f>B24</f>
        <v>111</v>
      </c>
      <c r="C75" s="535"/>
      <c r="D75" s="535"/>
      <c r="E75" s="535"/>
      <c r="F75" s="535"/>
      <c r="G75" s="680"/>
      <c r="H75" s="680"/>
      <c r="I75" s="680"/>
      <c r="J75" s="680"/>
      <c r="K75" s="680"/>
      <c r="L75" s="680"/>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7.75"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1"/>
      <c r="B81" s="665"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2">
        <v>0.5</v>
      </c>
      <c r="D86" s="882">
        <v>0.6</v>
      </c>
      <c r="E86" s="882">
        <v>0.7</v>
      </c>
      <c r="F86" s="882">
        <v>0.8</v>
      </c>
      <c r="G86" s="882">
        <v>0.9</v>
      </c>
      <c r="H86" s="882">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5" thickTop="1">
      <c r="A97" s="727"/>
      <c r="B97" s="904">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5.75"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5"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5"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7" spans="1:4" ht="93.75">
      <c r="A7" s="2588" t="s">
        <v>2728</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根据《国有土地使用证》[]，估价对象（分摊）出让国有建设用地使用权面积为178018.61平方米。根据《建设工程规划许可证》[]、《出让合同》[]，估价对象规划建筑面积为331534.86平方米。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488" t="s">
        <v>792</v>
      </c>
      <c r="D4" s="3489"/>
      <c r="E4" s="3522" t="s">
        <v>793</v>
      </c>
      <c r="F4" s="3523"/>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ht="15">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SUMIF(46:46,YEAR(E7)&amp;"-"&amp;MONTH(E7),47:47)</f>
        <v>0</v>
      </c>
      <c r="G7" s="517"/>
      <c r="H7" s="514">
        <f>SUMIF(46:46,YEAR(G7)&amp;"-"&amp;MONTH(G7),47:47)</f>
        <v>0</v>
      </c>
      <c r="I7" s="517"/>
      <c r="J7" s="514">
        <f>SUMIF(46:46,YEAR(I7)&amp;"-"&amp;MONTH(I7),47:47)</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4" si="3">D8/F8</f>
        <v>#DIV/0!</v>
      </c>
      <c r="AB8" s="1503" t="e">
        <f t="shared" ref="AB8:AB34" si="4">D8/H8</f>
        <v>#DIV/0!</v>
      </c>
      <c r="AC8" s="1503" t="e">
        <f t="shared" ref="AC8:AC34" si="5">D8/J8</f>
        <v>#DIV/0!</v>
      </c>
    </row>
    <row r="9" spans="1:29" s="1201" customFormat="1" ht="15">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85.5">
      <c r="A14" s="2625" t="s">
        <v>2734</v>
      </c>
      <c r="B14" s="164" t="s">
        <v>537</v>
      </c>
      <c r="C14" s="908"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517"/>
      <c r="Q24" s="1504">
        <f t="shared" ref="Q24:Q34"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75" thickBot="1">
      <c r="A25" s="530"/>
      <c r="B25" s="531">
        <v>111</v>
      </c>
      <c r="C25" s="927"/>
      <c r="D25" s="928">
        <v>100</v>
      </c>
      <c r="E25" s="927"/>
      <c r="F25" s="929">
        <f>SUMIF(75:75,E25,76:76)-SUMIF(75:75,C25,76:76)+100</f>
        <v>100</v>
      </c>
      <c r="G25" s="927"/>
      <c r="H25" s="928">
        <f>SUMIF(75:75,G25,76:76)-SUMIF(75:75,C25,76:76)+100</f>
        <v>100</v>
      </c>
      <c r="I25" s="927"/>
      <c r="J25" s="928">
        <f>SUMIF(75:75,I25,76:76)-SUMIF(75:75,C25,76:76)+100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70" t="s">
        <v>802</v>
      </c>
      <c r="C26" s="903"/>
      <c r="D26" s="591">
        <v>100</v>
      </c>
      <c r="E26" s="903"/>
      <c r="F26" s="930">
        <f>SUMIF(77:77,E26,78:78)-SUMIF(77:77,C26,78:78)+100</f>
        <v>100</v>
      </c>
      <c r="G26" s="903"/>
      <c r="H26" s="591">
        <f>SUMIF(77:77,G26,78:78)-SUMIF(77:77,C26,78:78)+100</f>
        <v>100</v>
      </c>
      <c r="I26" s="903"/>
      <c r="J26" s="591">
        <f>SUMIF(77:77,I26,78:78)-SUMIF(77:77,C26,78:78)+100</f>
        <v>100</v>
      </c>
      <c r="K26" s="578"/>
      <c r="L26" s="2022"/>
      <c r="M26" s="2014"/>
      <c r="N26" s="2014"/>
      <c r="O26" s="2021"/>
      <c r="P26" s="3518"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19" t="s">
        <v>815</v>
      </c>
      <c r="Z26" s="1507" t="str">
        <f t="shared" ref="Z26:Z34" si="15">Q26</f>
        <v>公共部分装修</v>
      </c>
      <c r="AA26" s="1508">
        <f t="shared" si="3"/>
        <v>1</v>
      </c>
      <c r="AB26" s="1508">
        <f t="shared" si="4"/>
        <v>1</v>
      </c>
      <c r="AC26" s="1508">
        <f t="shared" si="5"/>
        <v>1</v>
      </c>
    </row>
    <row r="27" spans="1:29" s="1291"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0"/>
      <c r="M27" s="2050"/>
      <c r="N27" s="2050"/>
      <c r="O27" s="2023"/>
      <c r="P27" s="3519"/>
      <c r="Q27" s="1533" t="str">
        <f t="shared" si="11"/>
        <v>成新率</v>
      </c>
      <c r="R27" s="1509" t="s">
        <v>8</v>
      </c>
      <c r="S27" s="1510" t="e">
        <f t="shared" si="12"/>
        <v>#N/A</v>
      </c>
      <c r="T27" s="1509" t="s">
        <v>8</v>
      </c>
      <c r="U27" s="1510" t="e">
        <f t="shared" si="13"/>
        <v>#N/A</v>
      </c>
      <c r="V27" s="1509" t="s">
        <v>8</v>
      </c>
      <c r="W27" s="1510" t="e">
        <f t="shared" si="14"/>
        <v>#N/A</v>
      </c>
      <c r="X27" s="1511"/>
      <c r="Y27" s="3519"/>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519"/>
      <c r="Q28" s="1504" t="str">
        <f t="shared" si="11"/>
        <v>物业等级</v>
      </c>
      <c r="R28" s="1505" t="s">
        <v>8</v>
      </c>
      <c r="S28" s="1506">
        <f t="shared" si="12"/>
        <v>100</v>
      </c>
      <c r="T28" s="1505" t="s">
        <v>8</v>
      </c>
      <c r="U28" s="1506">
        <f t="shared" si="13"/>
        <v>100</v>
      </c>
      <c r="V28" s="1505" t="s">
        <v>8</v>
      </c>
      <c r="W28" s="1506">
        <f t="shared" si="14"/>
        <v>100</v>
      </c>
      <c r="X28" s="1499"/>
      <c r="Y28" s="3519"/>
      <c r="Z28" s="1507" t="str">
        <f t="shared" si="15"/>
        <v>物业等级</v>
      </c>
      <c r="AA28" s="1508">
        <f t="shared" si="3"/>
        <v>1</v>
      </c>
      <c r="AB28" s="1508">
        <f t="shared" si="4"/>
        <v>1</v>
      </c>
      <c r="AC28" s="1508">
        <f t="shared" si="5"/>
        <v>1</v>
      </c>
    </row>
    <row r="29" spans="1:29" ht="15">
      <c r="A29" s="588"/>
      <c r="B29" s="521" t="s">
        <v>816</v>
      </c>
      <c r="C29" s="919"/>
      <c r="D29" s="534">
        <v>100</v>
      </c>
      <c r="E29" s="919"/>
      <c r="F29" s="569">
        <f>SUMIF(84:84,E29,85:85)-SUMIF(84:84,C29,85:85)+100</f>
        <v>100</v>
      </c>
      <c r="G29" s="919"/>
      <c r="H29" s="534">
        <f>SUMIF(84:84,G29,85:85)-SUMIF(84:84,C29,85:85)+100</f>
        <v>100</v>
      </c>
      <c r="I29" s="919"/>
      <c r="J29" s="534">
        <f>SUMIF(84:84,I29,85:85)-SUMIF(84:84,C29,85:85)+100</f>
        <v>100</v>
      </c>
      <c r="K29" s="578"/>
      <c r="L29" s="2022"/>
      <c r="M29" s="2014"/>
      <c r="N29" s="2014"/>
      <c r="O29" s="2021"/>
      <c r="P29" s="3519"/>
      <c r="Q29" s="1504" t="str">
        <f t="shared" si="11"/>
        <v>有无电梯</v>
      </c>
      <c r="R29" s="1505" t="s">
        <v>8</v>
      </c>
      <c r="S29" s="1506">
        <f t="shared" si="12"/>
        <v>100</v>
      </c>
      <c r="T29" s="1505" t="s">
        <v>8</v>
      </c>
      <c r="U29" s="1506">
        <f t="shared" si="13"/>
        <v>100</v>
      </c>
      <c r="V29" s="1505" t="s">
        <v>8</v>
      </c>
      <c r="W29" s="1506">
        <f t="shared" si="14"/>
        <v>100</v>
      </c>
      <c r="X29" s="1499"/>
      <c r="Y29" s="3519"/>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519"/>
      <c r="Q30" s="1504" t="str">
        <f t="shared" si="11"/>
        <v>建筑面积</v>
      </c>
      <c r="R30" s="1505" t="s">
        <v>8</v>
      </c>
      <c r="S30" s="1506" t="e">
        <f t="shared" si="12"/>
        <v>#N/A</v>
      </c>
      <c r="T30" s="1505" t="s">
        <v>8</v>
      </c>
      <c r="U30" s="1506" t="e">
        <f t="shared" si="13"/>
        <v>#N/A</v>
      </c>
      <c r="V30" s="1505" t="s">
        <v>8</v>
      </c>
      <c r="W30" s="1506" t="e">
        <f t="shared" si="14"/>
        <v>#N/A</v>
      </c>
      <c r="X30" s="1499"/>
      <c r="Y30" s="3519"/>
      <c r="Z30" s="1507" t="str">
        <f t="shared" si="15"/>
        <v>建筑面积</v>
      </c>
      <c r="AA30" s="1508" t="e">
        <f t="shared" si="3"/>
        <v>#N/A</v>
      </c>
      <c r="AB30" s="1508" t="e">
        <f t="shared" si="4"/>
        <v>#N/A</v>
      </c>
      <c r="AC30" s="1508" t="e">
        <f t="shared" si="5"/>
        <v>#N/A</v>
      </c>
    </row>
    <row r="31" spans="1:29" s="1201" customFormat="1" ht="15">
      <c r="A31" s="594"/>
      <c r="B31" s="521" t="s">
        <v>818</v>
      </c>
      <c r="C31" s="919"/>
      <c r="D31" s="253">
        <v>100</v>
      </c>
      <c r="E31" s="919"/>
      <c r="F31" s="569">
        <f>SUMIF(89:89,E31,90:90)-SUMIF(89:89,C31,90:90)+100</f>
        <v>100</v>
      </c>
      <c r="G31" s="919"/>
      <c r="H31" s="534">
        <f>SUMIF(89:89,G31,90:90)-SUMIF(89:89,C31,90:90)+100</f>
        <v>100</v>
      </c>
      <c r="I31" s="919"/>
      <c r="J31" s="534">
        <f>SUMIF(89:89,I31,90:90)-SUMIF(89:89,C31,90:90)+100</f>
        <v>100</v>
      </c>
      <c r="K31" s="578"/>
      <c r="L31" s="2015"/>
      <c r="M31" s="2016"/>
      <c r="N31" s="2016"/>
      <c r="O31" s="2017"/>
      <c r="P31" s="3519"/>
      <c r="Q31" s="1132" t="str">
        <f t="shared" si="11"/>
        <v>是否封闭</v>
      </c>
      <c r="R31" s="1500" t="s">
        <v>8</v>
      </c>
      <c r="S31" s="1501">
        <f t="shared" si="12"/>
        <v>100</v>
      </c>
      <c r="T31" s="1500" t="s">
        <v>8</v>
      </c>
      <c r="U31" s="1501">
        <f t="shared" si="13"/>
        <v>100</v>
      </c>
      <c r="V31" s="1500" t="s">
        <v>8</v>
      </c>
      <c r="W31" s="1501">
        <f t="shared" si="14"/>
        <v>100</v>
      </c>
      <c r="X31" s="1502"/>
      <c r="Y31" s="3519"/>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519" t="s">
        <v>544</v>
      </c>
      <c r="Q32" s="1504">
        <f t="shared" si="11"/>
        <v>111</v>
      </c>
      <c r="R32" s="1505" t="s">
        <v>8</v>
      </c>
      <c r="S32" s="1506">
        <f t="shared" si="12"/>
        <v>100</v>
      </c>
      <c r="T32" s="1505" t="s">
        <v>8</v>
      </c>
      <c r="U32" s="1506">
        <f t="shared" si="13"/>
        <v>100</v>
      </c>
      <c r="V32" s="1505" t="s">
        <v>8</v>
      </c>
      <c r="W32" s="1506">
        <f t="shared" si="14"/>
        <v>100</v>
      </c>
      <c r="X32" s="1499"/>
      <c r="Y32" s="3519"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519"/>
      <c r="Q33" s="1504">
        <f t="shared" si="11"/>
        <v>111</v>
      </c>
      <c r="R33" s="1505" t="s">
        <v>8</v>
      </c>
      <c r="S33" s="1506">
        <f t="shared" si="12"/>
        <v>100</v>
      </c>
      <c r="T33" s="1505" t="s">
        <v>8</v>
      </c>
      <c r="U33" s="1506">
        <f t="shared" si="13"/>
        <v>100</v>
      </c>
      <c r="V33" s="1505" t="s">
        <v>8</v>
      </c>
      <c r="W33" s="1506">
        <f t="shared" si="14"/>
        <v>100</v>
      </c>
      <c r="X33" s="1499"/>
      <c r="Y33" s="3519"/>
      <c r="Z33" s="1507">
        <f t="shared" si="15"/>
        <v>111</v>
      </c>
      <c r="AA33" s="1508">
        <f t="shared" si="3"/>
        <v>1</v>
      </c>
      <c r="AB33" s="1508">
        <f t="shared" si="4"/>
        <v>1</v>
      </c>
      <c r="AC33" s="1508">
        <f t="shared" si="5"/>
        <v>1</v>
      </c>
    </row>
    <row r="34" spans="1:29" ht="15.75" thickBot="1">
      <c r="A34" s="874"/>
      <c r="B34" s="538">
        <v>111</v>
      </c>
      <c r="C34" s="539"/>
      <c r="D34" s="540">
        <v>100</v>
      </c>
      <c r="E34" s="931"/>
      <c r="F34" s="855">
        <f>SUMIF(95:95,E34,96:96)-SUMIF(95:95,C34,96:96)+100</f>
        <v>100</v>
      </c>
      <c r="G34" s="931"/>
      <c r="H34" s="540">
        <f>SUMIF(95:95,G34,96:96)-SUMIF(95:95,C34,96:96)+100</f>
        <v>100</v>
      </c>
      <c r="I34" s="931"/>
      <c r="J34" s="540">
        <f>SUMIF(95:95,I34,96:96)-SUMIF(95:95,C34,96:96)+100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ht="15">
      <c r="A35" s="601" t="s">
        <v>730</v>
      </c>
      <c r="B35" s="875"/>
      <c r="C35" s="2468" t="s">
        <v>1</v>
      </c>
      <c r="D35" s="2469"/>
      <c r="E35" s="2470"/>
      <c r="F35" s="2471"/>
      <c r="G35" s="2472"/>
      <c r="H35" s="2473"/>
      <c r="I35" s="2470"/>
      <c r="J35" s="2473"/>
      <c r="K35" s="1538"/>
      <c r="L35" s="2024"/>
      <c r="M35" s="2025"/>
      <c r="N35" s="2014"/>
      <c r="O35" s="2025"/>
      <c r="P35" s="3482" t="str">
        <f>A35</f>
        <v>成交单价（元/平方米）</v>
      </c>
      <c r="Q35" s="3482"/>
      <c r="R35" s="3602">
        <f>E35</f>
        <v>0</v>
      </c>
      <c r="S35" s="3602"/>
      <c r="T35" s="3602">
        <f>G35</f>
        <v>0</v>
      </c>
      <c r="U35" s="3602"/>
      <c r="V35" s="3602">
        <f>I35</f>
        <v>0</v>
      </c>
      <c r="W35" s="3602"/>
      <c r="X35" s="1494"/>
      <c r="Y35" s="1513"/>
      <c r="Z35" s="1494"/>
      <c r="AA35" s="1494"/>
      <c r="AB35" s="1494"/>
      <c r="AC35" s="1494"/>
    </row>
    <row r="36" spans="1:29" ht="15.75" thickBot="1">
      <c r="A36" s="609" t="s">
        <v>2740</v>
      </c>
      <c r="B36" s="876"/>
      <c r="C36" s="2474" t="e">
        <f>R37</f>
        <v>#DIV/0!</v>
      </c>
      <c r="D36" s="3010" t="s">
        <v>2961</v>
      </c>
      <c r="E36" s="2475" t="e">
        <f>R36</f>
        <v>#DIV/0!</v>
      </c>
      <c r="F36" s="3011"/>
      <c r="G36" s="2474" t="e">
        <f>T36</f>
        <v>#DIV/0!</v>
      </c>
      <c r="H36" s="3011"/>
      <c r="I36" s="2475" t="e">
        <f>V36</f>
        <v>#DIV/0!</v>
      </c>
      <c r="J36" s="3011"/>
      <c r="K36" s="3019">
        <f>F36+H36+J36</f>
        <v>0</v>
      </c>
      <c r="L36" s="2024"/>
      <c r="M36" s="2025"/>
      <c r="N36" s="2014"/>
      <c r="O36" s="2025"/>
      <c r="P36" s="3482" t="str">
        <f>A36</f>
        <v>比较价格（元/平方米）</v>
      </c>
      <c r="Q36" s="3482"/>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494"/>
      <c r="Y36" s="1494"/>
      <c r="Z36" s="1494"/>
      <c r="AA36" s="1494"/>
      <c r="AB36" s="1494"/>
      <c r="AC36" s="1494"/>
    </row>
    <row r="37" spans="1:29" ht="15.75" thickBot="1">
      <c r="A37" s="613" t="s">
        <v>2892</v>
      </c>
      <c r="B37" s="614"/>
      <c r="C37" s="2476" t="e">
        <f>R37</f>
        <v>#DIV/0!</v>
      </c>
      <c r="D37" s="2476"/>
      <c r="E37" s="2476"/>
      <c r="F37" s="2476"/>
      <c r="G37" s="2476"/>
      <c r="H37" s="2476"/>
      <c r="I37" s="2476"/>
      <c r="J37" s="2476"/>
      <c r="K37" s="1539"/>
      <c r="L37" s="2024"/>
      <c r="M37" s="2025"/>
      <c r="N37" s="2025"/>
      <c r="O37" s="2025"/>
      <c r="P37" s="3479" t="str">
        <f>A37</f>
        <v>估价对象XX用房的比较价格（楼面单价，元/平方米）</v>
      </c>
      <c r="Q37" s="3480"/>
      <c r="R37" s="3603" t="e">
        <f>IF(F1="售价",ROUND(IF(D36="简单平均",AVERAGE(R36:W36),R36*F36+T36*H36+V36*J36),0),ROUND(IF(D36="简单平均",AVERAGE(R36:V36),R36*F36+T36*H36+V36*J36),1))</f>
        <v>#DIV/0!</v>
      </c>
      <c r="S37" s="3603"/>
      <c r="T37" s="3603"/>
      <c r="U37" s="3603"/>
      <c r="V37" s="3603"/>
      <c r="W37" s="3603"/>
      <c r="X37" s="1494"/>
      <c r="Y37" s="1494"/>
      <c r="Z37" s="1494"/>
      <c r="AA37" s="1494"/>
      <c r="AB37" s="1494"/>
      <c r="AC37" s="1494"/>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7" t="s">
        <v>523</v>
      </c>
      <c r="B46" s="638"/>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7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5">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5.75"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5.75" thickTop="1">
      <c r="A55" s="661"/>
      <c r="B55" s="922">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5.75"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75" thickTop="1">
      <c r="A63" s="661"/>
      <c r="B63" s="1808" t="s">
        <v>2538</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5.75" thickBot="1">
      <c r="A66" s="661"/>
      <c r="B66" s="673"/>
      <c r="C66" s="671">
        <v>100</v>
      </c>
      <c r="D66" s="671">
        <f>C66-$K18</f>
        <v>100</v>
      </c>
      <c r="E66" s="671">
        <f>D66-$K18</f>
        <v>100</v>
      </c>
      <c r="F66" s="671">
        <f>E66-$K18</f>
        <v>100</v>
      </c>
      <c r="G66" s="671">
        <f>F66-$K18</f>
        <v>100</v>
      </c>
      <c r="H66" s="922"/>
      <c r="I66" s="922"/>
      <c r="J66" s="922"/>
      <c r="K66" s="922"/>
      <c r="L66" s="922"/>
      <c r="M66" s="553"/>
      <c r="N66" s="2045"/>
      <c r="O66" s="2045"/>
      <c r="P66" s="2044"/>
      <c r="Q66" s="2037"/>
      <c r="R66" s="2025"/>
      <c r="S66" s="2025"/>
      <c r="T66" s="2025"/>
      <c r="U66" s="2025"/>
      <c r="V66" s="2025"/>
      <c r="W66" s="2025"/>
      <c r="X66" s="2025"/>
      <c r="Y66" s="2025"/>
      <c r="Z66" s="2025"/>
      <c r="AA66" s="2025"/>
      <c r="AB66" s="2025"/>
      <c r="AC66" s="2025"/>
    </row>
    <row r="67" spans="1:29" ht="15.7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1"/>
      <c r="B71" s="665">
        <f>B23</f>
        <v>111</v>
      </c>
      <c r="C71" s="535"/>
      <c r="D71" s="535"/>
      <c r="E71" s="535"/>
      <c r="F71" s="535"/>
      <c r="G71" s="680"/>
      <c r="H71" s="680"/>
      <c r="I71" s="680"/>
      <c r="J71" s="680"/>
      <c r="K71" s="680"/>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1"/>
      <c r="B73" s="665">
        <f>B24</f>
        <v>111</v>
      </c>
      <c r="C73" s="535"/>
      <c r="D73" s="535"/>
      <c r="E73" s="535"/>
      <c r="F73" s="535"/>
      <c r="G73" s="680"/>
      <c r="H73" s="680"/>
      <c r="I73" s="680"/>
      <c r="J73" s="680"/>
      <c r="K73" s="680"/>
      <c r="L73" s="680"/>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ht="15">
      <c r="A80" s="661"/>
      <c r="B80" s="673"/>
      <c r="C80" s="882">
        <v>0.5</v>
      </c>
      <c r="D80" s="882">
        <v>0.6</v>
      </c>
      <c r="E80" s="882">
        <v>0.7</v>
      </c>
      <c r="F80" s="882">
        <v>0.8</v>
      </c>
      <c r="G80" s="882">
        <v>0.9</v>
      </c>
      <c r="H80" s="882">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5.75"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5"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5.75"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5"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5" thickTop="1">
      <c r="A95" s="727"/>
      <c r="B95" s="904">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5.75"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2291</v>
      </c>
      <c r="C1" s="3611" t="s">
        <v>2292</v>
      </c>
      <c r="D1" s="3612"/>
      <c r="E1" s="3612"/>
      <c r="F1" s="3612"/>
      <c r="G1" s="3612"/>
      <c r="H1" s="3612"/>
      <c r="I1" s="3612"/>
      <c r="J1" s="3612"/>
      <c r="K1" s="3612"/>
      <c r="L1" s="3612"/>
      <c r="M1" s="3612"/>
      <c r="N1" s="3612"/>
      <c r="O1" s="3612"/>
      <c r="P1" s="3612"/>
      <c r="Q1" s="3612"/>
      <c r="R1" s="3612"/>
      <c r="S1" s="3613"/>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2884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2883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5">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5" t="e">
        <f>R22</f>
        <v>#DIV/0!</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0" customFormat="1" ht="24">
      <c r="A23" s="17" t="s">
        <v>824</v>
      </c>
      <c r="B23" s="2857"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4">
        <f>IF(B25="",0,ROUND($R$24*C25*E25*G25*I25*K25*M25*O25*Q25,0))</f>
        <v>0</v>
      </c>
      <c r="S25" s="789">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4">
        <f t="shared" ref="R26:R89" si="20">IF(B26="",0,ROUND($R$24*C26*E26*G26*I26*K26*M26*O26*Q26,0))</f>
        <v>0</v>
      </c>
      <c r="S26" s="789">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4">
        <f t="shared" si="20"/>
        <v>0</v>
      </c>
      <c r="S27" s="789">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4">
        <f t="shared" si="20"/>
        <v>0</v>
      </c>
      <c r="S28" s="789">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4">
        <f t="shared" si="20"/>
        <v>0</v>
      </c>
      <c r="S29" s="789">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4">
        <f t="shared" si="20"/>
        <v>0</v>
      </c>
      <c r="S30" s="789">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4">
        <f t="shared" si="20"/>
        <v>0</v>
      </c>
      <c r="S31" s="789">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4">
        <f t="shared" si="20"/>
        <v>0</v>
      </c>
      <c r="S32" s="789">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4">
        <f t="shared" si="20"/>
        <v>0</v>
      </c>
      <c r="S33" s="789">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4">
        <f t="shared" si="20"/>
        <v>0</v>
      </c>
      <c r="S34" s="789">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4">
        <f t="shared" si="20"/>
        <v>0</v>
      </c>
      <c r="S35" s="789">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4">
        <f t="shared" si="20"/>
        <v>0</v>
      </c>
      <c r="S36" s="789">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4">
        <f t="shared" si="20"/>
        <v>0</v>
      </c>
      <c r="S37" s="789">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4">
        <f t="shared" si="20"/>
        <v>0</v>
      </c>
      <c r="S38" s="789">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4">
        <f t="shared" si="20"/>
        <v>0</v>
      </c>
      <c r="S39" s="789">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4">
        <f t="shared" si="20"/>
        <v>0</v>
      </c>
      <c r="S40" s="789">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4">
        <f t="shared" si="20"/>
        <v>0</v>
      </c>
      <c r="S41" s="789">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4">
        <f t="shared" si="20"/>
        <v>0</v>
      </c>
      <c r="S42" s="789">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4">
        <f t="shared" si="20"/>
        <v>0</v>
      </c>
      <c r="S43" s="789">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4">
        <f t="shared" si="20"/>
        <v>0</v>
      </c>
      <c r="S44" s="789">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4">
        <f t="shared" si="20"/>
        <v>0</v>
      </c>
      <c r="S45" s="789">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4">
        <f t="shared" si="20"/>
        <v>0</v>
      </c>
      <c r="S46" s="789">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4">
        <f t="shared" si="20"/>
        <v>0</v>
      </c>
      <c r="S47" s="789">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4">
        <f t="shared" si="20"/>
        <v>0</v>
      </c>
      <c r="S48" s="789">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4">
        <f t="shared" si="20"/>
        <v>0</v>
      </c>
      <c r="S49" s="789">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4">
        <f t="shared" si="20"/>
        <v>0</v>
      </c>
      <c r="S50" s="789">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4">
        <f t="shared" si="20"/>
        <v>0</v>
      </c>
      <c r="S51" s="789">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4">
        <f t="shared" si="20"/>
        <v>0</v>
      </c>
      <c r="S52" s="789">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4">
        <f t="shared" si="20"/>
        <v>0</v>
      </c>
      <c r="S53" s="789">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4">
        <f t="shared" si="20"/>
        <v>0</v>
      </c>
      <c r="S54" s="789">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4">
        <f t="shared" si="20"/>
        <v>0</v>
      </c>
      <c r="S55" s="789">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4">
        <f t="shared" si="20"/>
        <v>0</v>
      </c>
      <c r="S56" s="789">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4">
        <f t="shared" si="20"/>
        <v>0</v>
      </c>
      <c r="S57" s="789">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4">
        <f t="shared" si="20"/>
        <v>0</v>
      </c>
      <c r="S58" s="789">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4">
        <f t="shared" si="20"/>
        <v>0</v>
      </c>
      <c r="S59" s="789">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4">
        <f t="shared" si="20"/>
        <v>0</v>
      </c>
      <c r="S60" s="789">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4">
        <f t="shared" si="20"/>
        <v>0</v>
      </c>
      <c r="S61" s="789">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4">
        <f t="shared" si="20"/>
        <v>0</v>
      </c>
      <c r="S62" s="789">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4">
        <f t="shared" si="20"/>
        <v>0</v>
      </c>
      <c r="S63" s="789">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4">
        <f t="shared" si="20"/>
        <v>0</v>
      </c>
      <c r="S64" s="789">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4">
        <f t="shared" si="20"/>
        <v>0</v>
      </c>
      <c r="S65" s="789">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4">
        <f t="shared" si="20"/>
        <v>0</v>
      </c>
      <c r="S66" s="789">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4">
        <f t="shared" si="20"/>
        <v>0</v>
      </c>
      <c r="S67" s="789">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4">
        <f t="shared" si="20"/>
        <v>0</v>
      </c>
      <c r="S68" s="789">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4">
        <f t="shared" si="20"/>
        <v>0</v>
      </c>
      <c r="S69" s="789">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4">
        <f t="shared" si="20"/>
        <v>0</v>
      </c>
      <c r="S70" s="789">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4">
        <f t="shared" si="20"/>
        <v>0</v>
      </c>
      <c r="S71" s="789">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4">
        <f t="shared" si="20"/>
        <v>0</v>
      </c>
      <c r="S72" s="789">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4">
        <f t="shared" si="20"/>
        <v>0</v>
      </c>
      <c r="S73" s="789">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4">
        <f t="shared" si="20"/>
        <v>0</v>
      </c>
      <c r="S74" s="789">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4">
        <f t="shared" si="20"/>
        <v>0</v>
      </c>
      <c r="S75" s="789">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4">
        <f t="shared" si="20"/>
        <v>0</v>
      </c>
      <c r="S76" s="789">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4">
        <f t="shared" si="20"/>
        <v>0</v>
      </c>
      <c r="S77" s="789">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4">
        <f t="shared" si="20"/>
        <v>0</v>
      </c>
      <c r="S78" s="789">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4">
        <f t="shared" si="20"/>
        <v>0</v>
      </c>
      <c r="S79" s="789">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4">
        <f t="shared" si="20"/>
        <v>0</v>
      </c>
      <c r="S80" s="789">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4">
        <f t="shared" si="20"/>
        <v>0</v>
      </c>
      <c r="S81" s="789">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4">
        <f t="shared" si="20"/>
        <v>0</v>
      </c>
      <c r="S82" s="789">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4">
        <f t="shared" si="20"/>
        <v>0</v>
      </c>
      <c r="S83" s="789">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4">
        <f t="shared" si="20"/>
        <v>0</v>
      </c>
      <c r="S84" s="789">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4">
        <f t="shared" si="20"/>
        <v>0</v>
      </c>
      <c r="S85" s="789">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4">
        <f t="shared" si="20"/>
        <v>0</v>
      </c>
      <c r="S86" s="789">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4">
        <f t="shared" si="20"/>
        <v>0</v>
      </c>
      <c r="S87" s="789">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4">
        <f t="shared" si="20"/>
        <v>0</v>
      </c>
      <c r="S88" s="789">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4">
        <f t="shared" si="20"/>
        <v>0</v>
      </c>
      <c r="S89" s="789">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4">
        <f t="shared" ref="R90:R153" si="31">IF(B90="",0,ROUND($R$24*C90*E90*G90*I90*K90*M90*O90*Q90,0))</f>
        <v>0</v>
      </c>
      <c r="S90" s="789">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4">
        <f t="shared" si="31"/>
        <v>0</v>
      </c>
      <c r="S91" s="789">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4">
        <f t="shared" si="31"/>
        <v>0</v>
      </c>
      <c r="S92" s="789">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4">
        <f t="shared" si="31"/>
        <v>0</v>
      </c>
      <c r="S93" s="789">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4">
        <f t="shared" si="31"/>
        <v>0</v>
      </c>
      <c r="S94" s="789">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4">
        <f t="shared" si="31"/>
        <v>0</v>
      </c>
      <c r="S95" s="789">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4">
        <f t="shared" si="31"/>
        <v>0</v>
      </c>
      <c r="S96" s="789">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4">
        <f t="shared" si="31"/>
        <v>0</v>
      </c>
      <c r="S97" s="789">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4">
        <f t="shared" si="31"/>
        <v>0</v>
      </c>
      <c r="S98" s="789">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4">
        <f t="shared" si="31"/>
        <v>0</v>
      </c>
      <c r="S99" s="789">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4">
        <f t="shared" si="31"/>
        <v>0</v>
      </c>
      <c r="S100" s="789">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4">
        <f t="shared" si="31"/>
        <v>0</v>
      </c>
      <c r="S101" s="789">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4">
        <f t="shared" si="31"/>
        <v>0</v>
      </c>
      <c r="S102" s="789">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4">
        <f t="shared" si="31"/>
        <v>0</v>
      </c>
      <c r="S103" s="789">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4">
        <f t="shared" si="31"/>
        <v>0</v>
      </c>
      <c r="S104" s="789">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4">
        <f t="shared" si="31"/>
        <v>0</v>
      </c>
      <c r="S105" s="789">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4">
        <f t="shared" si="31"/>
        <v>0</v>
      </c>
      <c r="S106" s="789">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4">
        <f t="shared" si="31"/>
        <v>0</v>
      </c>
      <c r="S107" s="789">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4">
        <f t="shared" si="31"/>
        <v>0</v>
      </c>
      <c r="S108" s="789">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4">
        <f t="shared" si="31"/>
        <v>0</v>
      </c>
      <c r="S109" s="789">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4">
        <f t="shared" si="31"/>
        <v>0</v>
      </c>
      <c r="S110" s="789">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4">
        <f t="shared" si="31"/>
        <v>0</v>
      </c>
      <c r="S111" s="789">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4">
        <f t="shared" si="31"/>
        <v>0</v>
      </c>
      <c r="S112" s="789">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4">
        <f t="shared" si="31"/>
        <v>0</v>
      </c>
      <c r="S113" s="789">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4">
        <f t="shared" si="31"/>
        <v>0</v>
      </c>
      <c r="S114" s="789">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4">
        <f t="shared" si="31"/>
        <v>0</v>
      </c>
      <c r="S115" s="789">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4">
        <f t="shared" si="31"/>
        <v>0</v>
      </c>
      <c r="S116" s="789">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4">
        <f t="shared" si="31"/>
        <v>0</v>
      </c>
      <c r="S117" s="789">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4">
        <f t="shared" si="31"/>
        <v>0</v>
      </c>
      <c r="S118" s="789">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4">
        <f t="shared" si="31"/>
        <v>0</v>
      </c>
      <c r="S119" s="789">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4">
        <f t="shared" si="31"/>
        <v>0</v>
      </c>
      <c r="S120" s="789">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4">
        <f t="shared" si="31"/>
        <v>0</v>
      </c>
      <c r="S121" s="789">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4">
        <f t="shared" si="31"/>
        <v>0</v>
      </c>
      <c r="S122" s="789">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4">
        <f t="shared" si="31"/>
        <v>0</v>
      </c>
      <c r="S123" s="789">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4">
        <f t="shared" si="31"/>
        <v>0</v>
      </c>
      <c r="S124" s="789">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4">
        <f t="shared" si="31"/>
        <v>0</v>
      </c>
      <c r="S125" s="789">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4">
        <f t="shared" si="31"/>
        <v>0</v>
      </c>
      <c r="S126" s="789">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4">
        <f t="shared" si="31"/>
        <v>0</v>
      </c>
      <c r="S127" s="789">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4">
        <f t="shared" si="31"/>
        <v>0</v>
      </c>
      <c r="S128" s="789">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4">
        <f t="shared" si="31"/>
        <v>0</v>
      </c>
      <c r="S129" s="789">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4">
        <f t="shared" si="31"/>
        <v>0</v>
      </c>
      <c r="S130" s="789">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4">
        <f t="shared" si="31"/>
        <v>0</v>
      </c>
      <c r="S131" s="789">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4">
        <f t="shared" si="31"/>
        <v>0</v>
      </c>
      <c r="S132" s="789">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4">
        <f t="shared" si="31"/>
        <v>0</v>
      </c>
      <c r="S133" s="789">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4">
        <f t="shared" si="31"/>
        <v>0</v>
      </c>
      <c r="S134" s="789">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4">
        <f t="shared" si="31"/>
        <v>0</v>
      </c>
      <c r="S135" s="789">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4">
        <f t="shared" si="31"/>
        <v>0</v>
      </c>
      <c r="S136" s="789">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4">
        <f t="shared" si="31"/>
        <v>0</v>
      </c>
      <c r="S137" s="789">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4">
        <f t="shared" si="31"/>
        <v>0</v>
      </c>
      <c r="S138" s="789">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4">
        <f t="shared" si="31"/>
        <v>0</v>
      </c>
      <c r="S139" s="789">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4">
        <f t="shared" si="31"/>
        <v>0</v>
      </c>
      <c r="S140" s="789">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4">
        <f t="shared" si="31"/>
        <v>0</v>
      </c>
      <c r="S141" s="789">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4">
        <f t="shared" si="31"/>
        <v>0</v>
      </c>
      <c r="S142" s="789">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4">
        <f t="shared" si="31"/>
        <v>0</v>
      </c>
      <c r="S143" s="789">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4">
        <f t="shared" si="31"/>
        <v>0</v>
      </c>
      <c r="S144" s="789">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4">
        <f t="shared" si="31"/>
        <v>0</v>
      </c>
      <c r="S145" s="789">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4">
        <f t="shared" si="31"/>
        <v>0</v>
      </c>
      <c r="S146" s="789">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4">
        <f t="shared" si="31"/>
        <v>0</v>
      </c>
      <c r="S147" s="789">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4">
        <f t="shared" si="31"/>
        <v>0</v>
      </c>
      <c r="S148" s="789">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4">
        <f t="shared" si="31"/>
        <v>0</v>
      </c>
      <c r="S149" s="789">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4">
        <f t="shared" si="31"/>
        <v>0</v>
      </c>
      <c r="S150" s="789">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4">
        <f t="shared" si="31"/>
        <v>0</v>
      </c>
      <c r="S151" s="789">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4">
        <f t="shared" si="31"/>
        <v>0</v>
      </c>
      <c r="S152" s="789">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4">
        <f t="shared" si="31"/>
        <v>0</v>
      </c>
      <c r="S153" s="789">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4">
        <f t="shared" ref="R154:R217" si="41">IF(B154="",0,ROUND($R$24*C154*E154*G154*I154*K154*M154*O154*Q154,0))</f>
        <v>0</v>
      </c>
      <c r="S154" s="789">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4">
        <f t="shared" si="41"/>
        <v>0</v>
      </c>
      <c r="S155" s="789">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4">
        <f t="shared" si="41"/>
        <v>0</v>
      </c>
      <c r="S156" s="789">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4">
        <f t="shared" si="41"/>
        <v>0</v>
      </c>
      <c r="S157" s="789">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4">
        <f t="shared" si="41"/>
        <v>0</v>
      </c>
      <c r="S158" s="789">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4">
        <f t="shared" si="41"/>
        <v>0</v>
      </c>
      <c r="S159" s="789">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4">
        <f t="shared" si="41"/>
        <v>0</v>
      </c>
      <c r="S160" s="789">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4">
        <f t="shared" si="41"/>
        <v>0</v>
      </c>
      <c r="S161" s="789">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4">
        <f t="shared" si="41"/>
        <v>0</v>
      </c>
      <c r="S162" s="789">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4">
        <f t="shared" si="41"/>
        <v>0</v>
      </c>
      <c r="S163" s="789">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4">
        <f t="shared" si="41"/>
        <v>0</v>
      </c>
      <c r="S164" s="789">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4">
        <f t="shared" si="41"/>
        <v>0</v>
      </c>
      <c r="S165" s="789">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4">
        <f t="shared" si="41"/>
        <v>0</v>
      </c>
      <c r="S166" s="789">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4">
        <f t="shared" si="41"/>
        <v>0</v>
      </c>
      <c r="S167" s="789">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4">
        <f t="shared" si="41"/>
        <v>0</v>
      </c>
      <c r="S168" s="789">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4">
        <f t="shared" si="41"/>
        <v>0</v>
      </c>
      <c r="S169" s="789">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4">
        <f t="shared" si="41"/>
        <v>0</v>
      </c>
      <c r="S170" s="789">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4">
        <f t="shared" si="41"/>
        <v>0</v>
      </c>
      <c r="S171" s="789">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4">
        <f t="shared" si="41"/>
        <v>0</v>
      </c>
      <c r="S172" s="789">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4">
        <f t="shared" si="41"/>
        <v>0</v>
      </c>
      <c r="S173" s="789">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4">
        <f t="shared" si="41"/>
        <v>0</v>
      </c>
      <c r="S174" s="789">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4">
        <f t="shared" si="41"/>
        <v>0</v>
      </c>
      <c r="S175" s="789">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4">
        <f t="shared" si="41"/>
        <v>0</v>
      </c>
      <c r="S176" s="789">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4">
        <f t="shared" si="41"/>
        <v>0</v>
      </c>
      <c r="S177" s="789">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4">
        <f t="shared" si="41"/>
        <v>0</v>
      </c>
      <c r="S178" s="789">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4">
        <f t="shared" si="41"/>
        <v>0</v>
      </c>
      <c r="S179" s="789">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4">
        <f t="shared" si="41"/>
        <v>0</v>
      </c>
      <c r="S180" s="789">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4">
        <f t="shared" si="41"/>
        <v>0</v>
      </c>
      <c r="S181" s="789">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4">
        <f t="shared" si="41"/>
        <v>0</v>
      </c>
      <c r="S182" s="789">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4">
        <f t="shared" si="41"/>
        <v>0</v>
      </c>
      <c r="S183" s="789">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4">
        <f t="shared" si="41"/>
        <v>0</v>
      </c>
      <c r="S184" s="789">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4">
        <f t="shared" si="41"/>
        <v>0</v>
      </c>
      <c r="S185" s="789">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4">
        <f t="shared" si="41"/>
        <v>0</v>
      </c>
      <c r="S186" s="789">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4">
        <f t="shared" si="41"/>
        <v>0</v>
      </c>
      <c r="S187" s="789">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4">
        <f t="shared" si="41"/>
        <v>0</v>
      </c>
      <c r="S188" s="789">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4">
        <f t="shared" si="41"/>
        <v>0</v>
      </c>
      <c r="S189" s="789">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4">
        <f t="shared" si="41"/>
        <v>0</v>
      </c>
      <c r="S190" s="789">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4">
        <f t="shared" si="41"/>
        <v>0</v>
      </c>
      <c r="S191" s="789">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4">
        <f t="shared" si="41"/>
        <v>0</v>
      </c>
      <c r="S192" s="789">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4">
        <f t="shared" si="41"/>
        <v>0</v>
      </c>
      <c r="S193" s="789">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4">
        <f t="shared" si="41"/>
        <v>0</v>
      </c>
      <c r="S194" s="789">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4">
        <f t="shared" si="41"/>
        <v>0</v>
      </c>
      <c r="S195" s="789">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4">
        <f t="shared" si="41"/>
        <v>0</v>
      </c>
      <c r="S196" s="789">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4">
        <f t="shared" si="41"/>
        <v>0</v>
      </c>
      <c r="S197" s="789">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4">
        <f t="shared" si="41"/>
        <v>0</v>
      </c>
      <c r="S198" s="789">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4">
        <f t="shared" si="41"/>
        <v>0</v>
      </c>
      <c r="S199" s="789">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4">
        <f t="shared" si="41"/>
        <v>0</v>
      </c>
      <c r="S200" s="789">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4">
        <f t="shared" si="41"/>
        <v>0</v>
      </c>
      <c r="S201" s="789">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4">
        <f t="shared" si="41"/>
        <v>0</v>
      </c>
      <c r="S202" s="789">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4">
        <f t="shared" si="41"/>
        <v>0</v>
      </c>
      <c r="S203" s="789">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4">
        <f t="shared" si="41"/>
        <v>0</v>
      </c>
      <c r="S204" s="789">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4">
        <f t="shared" si="41"/>
        <v>0</v>
      </c>
      <c r="S205" s="789">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4">
        <f t="shared" si="41"/>
        <v>0</v>
      </c>
      <c r="S206" s="789">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4">
        <f t="shared" si="41"/>
        <v>0</v>
      </c>
      <c r="S207" s="789">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4">
        <f t="shared" si="41"/>
        <v>0</v>
      </c>
      <c r="S208" s="789">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4">
        <f t="shared" si="41"/>
        <v>0</v>
      </c>
      <c r="S209" s="789">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4">
        <f t="shared" si="41"/>
        <v>0</v>
      </c>
      <c r="S210" s="789">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4">
        <f t="shared" si="41"/>
        <v>0</v>
      </c>
      <c r="S211" s="789">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4">
        <f t="shared" si="41"/>
        <v>0</v>
      </c>
      <c r="S212" s="789">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4">
        <f t="shared" si="41"/>
        <v>0</v>
      </c>
      <c r="S213" s="789">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4">
        <f t="shared" si="41"/>
        <v>0</v>
      </c>
      <c r="S214" s="789">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4">
        <f t="shared" si="41"/>
        <v>0</v>
      </c>
      <c r="S215" s="789">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4">
        <f t="shared" si="41"/>
        <v>0</v>
      </c>
      <c r="S216" s="789">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4">
        <f t="shared" si="41"/>
        <v>0</v>
      </c>
      <c r="S217" s="789">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4">
        <f t="shared" ref="R218:R281" si="51">IF(B218="",0,ROUND($R$24*C218*E218*G218*I218*K218*M218*O218*Q218,0))</f>
        <v>0</v>
      </c>
      <c r="S218" s="789">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4">
        <f t="shared" si="51"/>
        <v>0</v>
      </c>
      <c r="S219" s="789">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4">
        <f t="shared" si="51"/>
        <v>0</v>
      </c>
      <c r="S220" s="789">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4">
        <f t="shared" si="51"/>
        <v>0</v>
      </c>
      <c r="S221" s="789">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4">
        <f t="shared" si="51"/>
        <v>0</v>
      </c>
      <c r="S222" s="789">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4">
        <f t="shared" si="51"/>
        <v>0</v>
      </c>
      <c r="S223" s="789">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4">
        <f t="shared" si="51"/>
        <v>0</v>
      </c>
      <c r="S224" s="789">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4">
        <f t="shared" si="51"/>
        <v>0</v>
      </c>
      <c r="S225" s="789">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4">
        <f t="shared" si="51"/>
        <v>0</v>
      </c>
      <c r="S226" s="789">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4">
        <f t="shared" si="51"/>
        <v>0</v>
      </c>
      <c r="S227" s="789">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4">
        <f t="shared" si="51"/>
        <v>0</v>
      </c>
      <c r="S228" s="789">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4">
        <f t="shared" si="51"/>
        <v>0</v>
      </c>
      <c r="S229" s="789">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4">
        <f t="shared" si="51"/>
        <v>0</v>
      </c>
      <c r="S230" s="789">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4">
        <f t="shared" si="51"/>
        <v>0</v>
      </c>
      <c r="S231" s="789">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4">
        <f t="shared" si="51"/>
        <v>0</v>
      </c>
      <c r="S232" s="789">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4">
        <f t="shared" si="51"/>
        <v>0</v>
      </c>
      <c r="S233" s="789">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4">
        <f t="shared" si="51"/>
        <v>0</v>
      </c>
      <c r="S234" s="789">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4">
        <f t="shared" si="51"/>
        <v>0</v>
      </c>
      <c r="S235" s="789">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4">
        <f t="shared" si="51"/>
        <v>0</v>
      </c>
      <c r="S236" s="789">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4">
        <f t="shared" si="51"/>
        <v>0</v>
      </c>
      <c r="S237" s="789">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4">
        <f t="shared" si="51"/>
        <v>0</v>
      </c>
      <c r="S238" s="789">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4">
        <f t="shared" si="51"/>
        <v>0</v>
      </c>
      <c r="S239" s="789">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4">
        <f t="shared" si="51"/>
        <v>0</v>
      </c>
      <c r="S240" s="789">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4">
        <f t="shared" si="51"/>
        <v>0</v>
      </c>
      <c r="S241" s="789">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4">
        <f t="shared" si="51"/>
        <v>0</v>
      </c>
      <c r="S242" s="789">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4">
        <f t="shared" si="51"/>
        <v>0</v>
      </c>
      <c r="S243" s="789">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4">
        <f t="shared" si="51"/>
        <v>0</v>
      </c>
      <c r="S244" s="789">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4">
        <f t="shared" si="51"/>
        <v>0</v>
      </c>
      <c r="S245" s="789">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4">
        <f t="shared" si="51"/>
        <v>0</v>
      </c>
      <c r="S246" s="789">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4">
        <f t="shared" si="51"/>
        <v>0</v>
      </c>
      <c r="S247" s="789">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4">
        <f t="shared" si="51"/>
        <v>0</v>
      </c>
      <c r="S248" s="789">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4">
        <f t="shared" si="51"/>
        <v>0</v>
      </c>
      <c r="S249" s="789">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4">
        <f t="shared" si="51"/>
        <v>0</v>
      </c>
      <c r="S250" s="789">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4">
        <f t="shared" si="51"/>
        <v>0</v>
      </c>
      <c r="S251" s="789">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4">
        <f t="shared" si="51"/>
        <v>0</v>
      </c>
      <c r="S252" s="789">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4">
        <f t="shared" si="51"/>
        <v>0</v>
      </c>
      <c r="S253" s="789">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4">
        <f t="shared" si="51"/>
        <v>0</v>
      </c>
      <c r="S254" s="789">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4">
        <f t="shared" si="51"/>
        <v>0</v>
      </c>
      <c r="S255" s="789">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4">
        <f t="shared" si="51"/>
        <v>0</v>
      </c>
      <c r="S256" s="789">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4">
        <f t="shared" si="51"/>
        <v>0</v>
      </c>
      <c r="S257" s="789">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4">
        <f t="shared" si="51"/>
        <v>0</v>
      </c>
      <c r="S258" s="789">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4">
        <f t="shared" si="51"/>
        <v>0</v>
      </c>
      <c r="S259" s="789">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4">
        <f t="shared" si="51"/>
        <v>0</v>
      </c>
      <c r="S260" s="789">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4">
        <f t="shared" si="51"/>
        <v>0</v>
      </c>
      <c r="S261" s="789">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4">
        <f t="shared" si="51"/>
        <v>0</v>
      </c>
      <c r="S262" s="789">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4">
        <f t="shared" si="51"/>
        <v>0</v>
      </c>
      <c r="S263" s="789">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4">
        <f t="shared" si="51"/>
        <v>0</v>
      </c>
      <c r="S264" s="789">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4">
        <f t="shared" si="51"/>
        <v>0</v>
      </c>
      <c r="S265" s="789">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4">
        <f t="shared" si="51"/>
        <v>0</v>
      </c>
      <c r="S266" s="789">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4">
        <f t="shared" si="51"/>
        <v>0</v>
      </c>
      <c r="S267" s="789">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4">
        <f t="shared" si="51"/>
        <v>0</v>
      </c>
      <c r="S268" s="789">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4">
        <f t="shared" si="51"/>
        <v>0</v>
      </c>
      <c r="S269" s="789">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4">
        <f t="shared" si="51"/>
        <v>0</v>
      </c>
      <c r="S270" s="789">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4">
        <f t="shared" si="51"/>
        <v>0</v>
      </c>
      <c r="S271" s="789">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4">
        <f t="shared" si="51"/>
        <v>0</v>
      </c>
      <c r="S272" s="789">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4">
        <f t="shared" si="51"/>
        <v>0</v>
      </c>
      <c r="S273" s="789">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4">
        <f t="shared" si="51"/>
        <v>0</v>
      </c>
      <c r="S274" s="789">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4">
        <f t="shared" si="51"/>
        <v>0</v>
      </c>
      <c r="S275" s="789">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4">
        <f t="shared" si="51"/>
        <v>0</v>
      </c>
      <c r="S276" s="789">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4">
        <f t="shared" si="51"/>
        <v>0</v>
      </c>
      <c r="S277" s="789">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4">
        <f t="shared" si="51"/>
        <v>0</v>
      </c>
      <c r="S278" s="789">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4">
        <f t="shared" si="51"/>
        <v>0</v>
      </c>
      <c r="S279" s="789">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4">
        <f t="shared" si="51"/>
        <v>0</v>
      </c>
      <c r="S280" s="789">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4">
        <f t="shared" si="51"/>
        <v>0</v>
      </c>
      <c r="S281" s="789">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4">
        <f t="shared" ref="R282:R345" si="61">IF(B282="",0,ROUND($R$24*C282*E282*G282*I282*K282*M282*O282*Q282,0))</f>
        <v>0</v>
      </c>
      <c r="S282" s="789">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4">
        <f t="shared" si="61"/>
        <v>0</v>
      </c>
      <c r="S283" s="789">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4">
        <f t="shared" si="61"/>
        <v>0</v>
      </c>
      <c r="S284" s="789">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4">
        <f t="shared" si="61"/>
        <v>0</v>
      </c>
      <c r="S285" s="789">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4">
        <f t="shared" si="61"/>
        <v>0</v>
      </c>
      <c r="S286" s="789">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4">
        <f t="shared" si="61"/>
        <v>0</v>
      </c>
      <c r="S287" s="789">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4">
        <f t="shared" si="61"/>
        <v>0</v>
      </c>
      <c r="S288" s="789">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4">
        <f t="shared" si="61"/>
        <v>0</v>
      </c>
      <c r="S289" s="789">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4">
        <f t="shared" si="61"/>
        <v>0</v>
      </c>
      <c r="S290" s="789">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4">
        <f t="shared" si="61"/>
        <v>0</v>
      </c>
      <c r="S291" s="789">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4">
        <f t="shared" si="61"/>
        <v>0</v>
      </c>
      <c r="S292" s="789">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4">
        <f t="shared" si="61"/>
        <v>0</v>
      </c>
      <c r="S293" s="789">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4">
        <f t="shared" si="61"/>
        <v>0</v>
      </c>
      <c r="S294" s="789">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4">
        <f t="shared" si="61"/>
        <v>0</v>
      </c>
      <c r="S295" s="789">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4">
        <f t="shared" si="61"/>
        <v>0</v>
      </c>
      <c r="S296" s="789">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4">
        <f t="shared" si="61"/>
        <v>0</v>
      </c>
      <c r="S297" s="789">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4">
        <f t="shared" si="61"/>
        <v>0</v>
      </c>
      <c r="S298" s="789">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4">
        <f t="shared" si="61"/>
        <v>0</v>
      </c>
      <c r="S299" s="789">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4">
        <f t="shared" si="61"/>
        <v>0</v>
      </c>
      <c r="S300" s="789">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4">
        <f t="shared" si="61"/>
        <v>0</v>
      </c>
      <c r="S301" s="789">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4">
        <f t="shared" si="61"/>
        <v>0</v>
      </c>
      <c r="S302" s="789">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4">
        <f t="shared" si="61"/>
        <v>0</v>
      </c>
      <c r="S303" s="789">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4">
        <f t="shared" si="61"/>
        <v>0</v>
      </c>
      <c r="S304" s="789">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4">
        <f t="shared" si="61"/>
        <v>0</v>
      </c>
      <c r="S305" s="789">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4">
        <f t="shared" si="61"/>
        <v>0</v>
      </c>
      <c r="S306" s="789">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4">
        <f t="shared" si="61"/>
        <v>0</v>
      </c>
      <c r="S307" s="789">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4">
        <f t="shared" si="61"/>
        <v>0</v>
      </c>
      <c r="S308" s="789">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4">
        <f t="shared" si="61"/>
        <v>0</v>
      </c>
      <c r="S309" s="789">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4">
        <f t="shared" si="61"/>
        <v>0</v>
      </c>
      <c r="S310" s="789">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4">
        <f t="shared" si="61"/>
        <v>0</v>
      </c>
      <c r="S311" s="789">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4">
        <f t="shared" si="61"/>
        <v>0</v>
      </c>
      <c r="S312" s="789">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4">
        <f t="shared" si="61"/>
        <v>0</v>
      </c>
      <c r="S313" s="789">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4">
        <f t="shared" si="61"/>
        <v>0</v>
      </c>
      <c r="S314" s="789">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4">
        <f t="shared" si="61"/>
        <v>0</v>
      </c>
      <c r="S315" s="789">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4">
        <f t="shared" si="61"/>
        <v>0</v>
      </c>
      <c r="S316" s="789">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4">
        <f t="shared" si="61"/>
        <v>0</v>
      </c>
      <c r="S317" s="789">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4">
        <f t="shared" si="61"/>
        <v>0</v>
      </c>
      <c r="S318" s="789">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4">
        <f t="shared" si="61"/>
        <v>0</v>
      </c>
      <c r="S319" s="789">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4">
        <f t="shared" si="61"/>
        <v>0</v>
      </c>
      <c r="S320" s="789">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4">
        <f t="shared" si="61"/>
        <v>0</v>
      </c>
      <c r="S321" s="789">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4">
        <f t="shared" si="61"/>
        <v>0</v>
      </c>
      <c r="S322" s="789">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4">
        <f t="shared" si="61"/>
        <v>0</v>
      </c>
      <c r="S323" s="789">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4">
        <f t="shared" si="61"/>
        <v>0</v>
      </c>
      <c r="S324" s="789">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4">
        <f t="shared" si="61"/>
        <v>0</v>
      </c>
      <c r="S325" s="789">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4">
        <f t="shared" si="61"/>
        <v>0</v>
      </c>
      <c r="S326" s="789">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4">
        <f t="shared" si="61"/>
        <v>0</v>
      </c>
      <c r="S327" s="789">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4">
        <f t="shared" si="61"/>
        <v>0</v>
      </c>
      <c r="S328" s="789">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4">
        <f t="shared" si="61"/>
        <v>0</v>
      </c>
      <c r="S329" s="789">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4">
        <f t="shared" si="61"/>
        <v>0</v>
      </c>
      <c r="S330" s="789">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4">
        <f t="shared" si="61"/>
        <v>0</v>
      </c>
      <c r="S331" s="789">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4">
        <f t="shared" si="61"/>
        <v>0</v>
      </c>
      <c r="S332" s="789">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4">
        <f t="shared" si="61"/>
        <v>0</v>
      </c>
      <c r="S333" s="789">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4">
        <f t="shared" si="61"/>
        <v>0</v>
      </c>
      <c r="S334" s="789">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4">
        <f t="shared" si="61"/>
        <v>0</v>
      </c>
      <c r="S335" s="789">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4">
        <f t="shared" si="61"/>
        <v>0</v>
      </c>
      <c r="S336" s="789">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4">
        <f t="shared" si="61"/>
        <v>0</v>
      </c>
      <c r="S337" s="789">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4">
        <f t="shared" si="61"/>
        <v>0</v>
      </c>
      <c r="S338" s="789">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4">
        <f t="shared" si="61"/>
        <v>0</v>
      </c>
      <c r="S339" s="789">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4">
        <f t="shared" si="61"/>
        <v>0</v>
      </c>
      <c r="S340" s="789">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4">
        <f t="shared" si="61"/>
        <v>0</v>
      </c>
      <c r="S341" s="789">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4">
        <f t="shared" si="61"/>
        <v>0</v>
      </c>
      <c r="S342" s="789">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4">
        <f t="shared" si="61"/>
        <v>0</v>
      </c>
      <c r="S343" s="789">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4">
        <f t="shared" si="61"/>
        <v>0</v>
      </c>
      <c r="S344" s="789">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4">
        <f t="shared" si="61"/>
        <v>0</v>
      </c>
      <c r="S345" s="789">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4">
        <f t="shared" ref="R346:R409" si="72">IF(B346="",0,ROUND($R$24*C346*E346*G346*I346*K346*M346*O346*Q346,0))</f>
        <v>0</v>
      </c>
      <c r="S346" s="789">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4">
        <f t="shared" si="72"/>
        <v>0</v>
      </c>
      <c r="S347" s="789">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4">
        <f t="shared" si="72"/>
        <v>0</v>
      </c>
      <c r="S348" s="789">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4">
        <f t="shared" si="72"/>
        <v>0</v>
      </c>
      <c r="S349" s="789">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4">
        <f t="shared" si="72"/>
        <v>0</v>
      </c>
      <c r="S350" s="789">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4">
        <f t="shared" si="72"/>
        <v>0</v>
      </c>
      <c r="S351" s="789">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4">
        <f t="shared" si="72"/>
        <v>0</v>
      </c>
      <c r="S352" s="789">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4">
        <f t="shared" si="72"/>
        <v>0</v>
      </c>
      <c r="S353" s="789">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4">
        <f t="shared" si="72"/>
        <v>0</v>
      </c>
      <c r="S354" s="789">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4">
        <f t="shared" si="72"/>
        <v>0</v>
      </c>
      <c r="S355" s="789">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4">
        <f t="shared" si="72"/>
        <v>0</v>
      </c>
      <c r="S356" s="789">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4">
        <f t="shared" si="72"/>
        <v>0</v>
      </c>
      <c r="S357" s="789">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4">
        <f t="shared" si="72"/>
        <v>0</v>
      </c>
      <c r="S358" s="789">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4">
        <f t="shared" si="72"/>
        <v>0</v>
      </c>
      <c r="S359" s="789">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4">
        <f t="shared" si="72"/>
        <v>0</v>
      </c>
      <c r="S360" s="789">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4">
        <f t="shared" si="72"/>
        <v>0</v>
      </c>
      <c r="S361" s="789">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4">
        <f t="shared" si="72"/>
        <v>0</v>
      </c>
      <c r="S362" s="789">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4">
        <f t="shared" si="72"/>
        <v>0</v>
      </c>
      <c r="S363" s="789">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4">
        <f t="shared" si="72"/>
        <v>0</v>
      </c>
      <c r="S364" s="789">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4">
        <f t="shared" si="72"/>
        <v>0</v>
      </c>
      <c r="S365" s="789">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4">
        <f t="shared" si="72"/>
        <v>0</v>
      </c>
      <c r="S366" s="789">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4">
        <f t="shared" si="72"/>
        <v>0</v>
      </c>
      <c r="S367" s="789">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4">
        <f t="shared" si="72"/>
        <v>0</v>
      </c>
      <c r="S368" s="789">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4">
        <f t="shared" si="72"/>
        <v>0</v>
      </c>
      <c r="S369" s="789">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4">
        <f t="shared" si="72"/>
        <v>0</v>
      </c>
      <c r="S370" s="789">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4">
        <f t="shared" si="72"/>
        <v>0</v>
      </c>
      <c r="S371" s="789">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4">
        <f t="shared" si="72"/>
        <v>0</v>
      </c>
      <c r="S372" s="789">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4">
        <f t="shared" si="72"/>
        <v>0</v>
      </c>
      <c r="S373" s="789">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4">
        <f t="shared" si="72"/>
        <v>0</v>
      </c>
      <c r="S374" s="789">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4">
        <f t="shared" si="72"/>
        <v>0</v>
      </c>
      <c r="S375" s="789">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4">
        <f t="shared" si="72"/>
        <v>0</v>
      </c>
      <c r="S376" s="789">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4">
        <f t="shared" si="72"/>
        <v>0</v>
      </c>
      <c r="S377" s="789">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4">
        <f t="shared" si="72"/>
        <v>0</v>
      </c>
      <c r="S378" s="789">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4">
        <f t="shared" si="72"/>
        <v>0</v>
      </c>
      <c r="S379" s="789">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4">
        <f t="shared" si="72"/>
        <v>0</v>
      </c>
      <c r="S380" s="789">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4">
        <f t="shared" si="72"/>
        <v>0</v>
      </c>
      <c r="S381" s="789">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4">
        <f t="shared" si="72"/>
        <v>0</v>
      </c>
      <c r="S382" s="789">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4">
        <f t="shared" si="72"/>
        <v>0</v>
      </c>
      <c r="S383" s="789">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4">
        <f t="shared" si="72"/>
        <v>0</v>
      </c>
      <c r="S384" s="789">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4">
        <f t="shared" si="72"/>
        <v>0</v>
      </c>
      <c r="S385" s="789">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4">
        <f t="shared" si="72"/>
        <v>0</v>
      </c>
      <c r="S386" s="789">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4">
        <f t="shared" si="72"/>
        <v>0</v>
      </c>
      <c r="S387" s="789">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4">
        <f t="shared" si="72"/>
        <v>0</v>
      </c>
      <c r="S388" s="789">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4">
        <f t="shared" si="72"/>
        <v>0</v>
      </c>
      <c r="S389" s="789">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4">
        <f t="shared" si="72"/>
        <v>0</v>
      </c>
      <c r="S390" s="789">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4">
        <f t="shared" si="72"/>
        <v>0</v>
      </c>
      <c r="S391" s="789">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4">
        <f t="shared" si="72"/>
        <v>0</v>
      </c>
      <c r="S392" s="789">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4">
        <f t="shared" si="72"/>
        <v>0</v>
      </c>
      <c r="S393" s="789">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4">
        <f t="shared" si="72"/>
        <v>0</v>
      </c>
      <c r="S394" s="789">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4">
        <f t="shared" si="72"/>
        <v>0</v>
      </c>
      <c r="S395" s="789">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4">
        <f t="shared" si="72"/>
        <v>0</v>
      </c>
      <c r="S396" s="789">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4">
        <f t="shared" si="72"/>
        <v>0</v>
      </c>
      <c r="S397" s="789">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4">
        <f t="shared" si="72"/>
        <v>0</v>
      </c>
      <c r="S398" s="789">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4">
        <f t="shared" si="72"/>
        <v>0</v>
      </c>
      <c r="S399" s="789">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4">
        <f t="shared" si="72"/>
        <v>0</v>
      </c>
      <c r="S400" s="789">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4">
        <f t="shared" si="72"/>
        <v>0</v>
      </c>
      <c r="S401" s="789">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4">
        <f t="shared" si="72"/>
        <v>0</v>
      </c>
      <c r="S402" s="789">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4">
        <f t="shared" si="72"/>
        <v>0</v>
      </c>
      <c r="S403" s="789">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4">
        <f t="shared" si="72"/>
        <v>0</v>
      </c>
      <c r="S404" s="789">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4">
        <f t="shared" si="72"/>
        <v>0</v>
      </c>
      <c r="S405" s="789">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4">
        <f t="shared" si="72"/>
        <v>0</v>
      </c>
      <c r="S406" s="789">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4">
        <f t="shared" si="72"/>
        <v>0</v>
      </c>
      <c r="S407" s="789">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4">
        <f t="shared" si="72"/>
        <v>0</v>
      </c>
      <c r="S408" s="789">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4">
        <f t="shared" si="72"/>
        <v>0</v>
      </c>
      <c r="S409" s="789">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4">
        <f t="shared" ref="R410:R473" si="82">IF(B410="",0,ROUND($R$24*C410*E410*G410*I410*K410*M410*O410*Q410,0))</f>
        <v>0</v>
      </c>
      <c r="S410" s="789">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4">
        <f t="shared" si="82"/>
        <v>0</v>
      </c>
      <c r="S411" s="789">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4">
        <f t="shared" si="82"/>
        <v>0</v>
      </c>
      <c r="S412" s="789">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4">
        <f t="shared" si="82"/>
        <v>0</v>
      </c>
      <c r="S413" s="789">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4">
        <f t="shared" si="82"/>
        <v>0</v>
      </c>
      <c r="S414" s="789">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4">
        <f t="shared" si="82"/>
        <v>0</v>
      </c>
      <c r="S415" s="789">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4">
        <f t="shared" si="82"/>
        <v>0</v>
      </c>
      <c r="S416" s="789">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4">
        <f t="shared" si="82"/>
        <v>0</v>
      </c>
      <c r="S417" s="789">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4">
        <f t="shared" si="82"/>
        <v>0</v>
      </c>
      <c r="S418" s="789">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4">
        <f t="shared" si="82"/>
        <v>0</v>
      </c>
      <c r="S419" s="789">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4">
        <f t="shared" si="82"/>
        <v>0</v>
      </c>
      <c r="S420" s="789">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4">
        <f t="shared" si="82"/>
        <v>0</v>
      </c>
      <c r="S421" s="789">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4">
        <f t="shared" si="82"/>
        <v>0</v>
      </c>
      <c r="S422" s="789">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4">
        <f t="shared" si="82"/>
        <v>0</v>
      </c>
      <c r="S423" s="789">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4">
        <f t="shared" si="82"/>
        <v>0</v>
      </c>
      <c r="S424" s="789">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4">
        <f t="shared" si="82"/>
        <v>0</v>
      </c>
      <c r="S425" s="789">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4">
        <f t="shared" si="82"/>
        <v>0</v>
      </c>
      <c r="S426" s="789">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4">
        <f t="shared" si="82"/>
        <v>0</v>
      </c>
      <c r="S427" s="789">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4">
        <f t="shared" si="82"/>
        <v>0</v>
      </c>
      <c r="S428" s="789">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4">
        <f t="shared" si="82"/>
        <v>0</v>
      </c>
      <c r="S429" s="789">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4">
        <f t="shared" si="82"/>
        <v>0</v>
      </c>
      <c r="S430" s="789">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4">
        <f t="shared" si="82"/>
        <v>0</v>
      </c>
      <c r="S431" s="789">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4">
        <f t="shared" si="82"/>
        <v>0</v>
      </c>
      <c r="S432" s="789">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4">
        <f t="shared" si="82"/>
        <v>0</v>
      </c>
      <c r="S433" s="789">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4">
        <f t="shared" si="82"/>
        <v>0</v>
      </c>
      <c r="S434" s="789">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4">
        <f t="shared" si="82"/>
        <v>0</v>
      </c>
      <c r="S435" s="789">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4">
        <f t="shared" si="82"/>
        <v>0</v>
      </c>
      <c r="S436" s="789">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4">
        <f t="shared" si="82"/>
        <v>0</v>
      </c>
      <c r="S437" s="789">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4">
        <f t="shared" si="82"/>
        <v>0</v>
      </c>
      <c r="S438" s="789">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4">
        <f t="shared" si="82"/>
        <v>0</v>
      </c>
      <c r="S439" s="789">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4">
        <f t="shared" si="82"/>
        <v>0</v>
      </c>
      <c r="S440" s="789">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4">
        <f t="shared" si="82"/>
        <v>0</v>
      </c>
      <c r="S441" s="789">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4">
        <f t="shared" si="82"/>
        <v>0</v>
      </c>
      <c r="S442" s="789">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4">
        <f t="shared" si="82"/>
        <v>0</v>
      </c>
      <c r="S443" s="789">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4">
        <f t="shared" si="82"/>
        <v>0</v>
      </c>
      <c r="S444" s="789">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4">
        <f t="shared" si="82"/>
        <v>0</v>
      </c>
      <c r="S445" s="789">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4">
        <f t="shared" si="82"/>
        <v>0</v>
      </c>
      <c r="S446" s="789">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4">
        <f t="shared" si="82"/>
        <v>0</v>
      </c>
      <c r="S447" s="789">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4">
        <f t="shared" si="82"/>
        <v>0</v>
      </c>
      <c r="S448" s="789">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4">
        <f t="shared" si="82"/>
        <v>0</v>
      </c>
      <c r="S449" s="789">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4">
        <f t="shared" si="82"/>
        <v>0</v>
      </c>
      <c r="S450" s="789">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4">
        <f t="shared" si="82"/>
        <v>0</v>
      </c>
      <c r="S451" s="789">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4">
        <f t="shared" si="82"/>
        <v>0</v>
      </c>
      <c r="S452" s="789">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4">
        <f t="shared" si="82"/>
        <v>0</v>
      </c>
      <c r="S453" s="789">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4">
        <f t="shared" si="82"/>
        <v>0</v>
      </c>
      <c r="S454" s="789">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4">
        <f t="shared" si="82"/>
        <v>0</v>
      </c>
      <c r="S455" s="789">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4">
        <f t="shared" si="82"/>
        <v>0</v>
      </c>
      <c r="S456" s="789">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4">
        <f t="shared" si="82"/>
        <v>0</v>
      </c>
      <c r="S457" s="789">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4">
        <f t="shared" si="82"/>
        <v>0</v>
      </c>
      <c r="S458" s="789">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4">
        <f t="shared" si="82"/>
        <v>0</v>
      </c>
      <c r="S459" s="789">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4">
        <f t="shared" si="82"/>
        <v>0</v>
      </c>
      <c r="S460" s="789">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4">
        <f t="shared" si="82"/>
        <v>0</v>
      </c>
      <c r="S461" s="789">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4">
        <f t="shared" si="82"/>
        <v>0</v>
      </c>
      <c r="S462" s="789">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4">
        <f t="shared" si="82"/>
        <v>0</v>
      </c>
      <c r="S463" s="789">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4">
        <f t="shared" si="82"/>
        <v>0</v>
      </c>
      <c r="S464" s="789">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4">
        <f t="shared" si="82"/>
        <v>0</v>
      </c>
      <c r="S465" s="789">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4">
        <f t="shared" si="82"/>
        <v>0</v>
      </c>
      <c r="S466" s="789">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4">
        <f t="shared" si="82"/>
        <v>0</v>
      </c>
      <c r="S467" s="789">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4">
        <f t="shared" si="82"/>
        <v>0</v>
      </c>
      <c r="S468" s="789">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4">
        <f t="shared" si="82"/>
        <v>0</v>
      </c>
      <c r="S469" s="789">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4">
        <f t="shared" si="82"/>
        <v>0</v>
      </c>
      <c r="S470" s="789">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4">
        <f t="shared" si="82"/>
        <v>0</v>
      </c>
      <c r="S471" s="789">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4">
        <f t="shared" si="82"/>
        <v>0</v>
      </c>
      <c r="S472" s="789">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4">
        <f t="shared" si="82"/>
        <v>0</v>
      </c>
      <c r="S473" s="789">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4">
        <f t="shared" ref="R474:R524" si="93">IF(B474="",0,ROUND($R$24*C474*E474*G474*I474*K474*M474*O474*Q474,0))</f>
        <v>0</v>
      </c>
      <c r="S474" s="789">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4">
        <f t="shared" si="93"/>
        <v>0</v>
      </c>
      <c r="S475" s="789">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4">
        <f t="shared" si="93"/>
        <v>0</v>
      </c>
      <c r="S476" s="789">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4">
        <f t="shared" si="93"/>
        <v>0</v>
      </c>
      <c r="S477" s="789">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4">
        <f t="shared" si="93"/>
        <v>0</v>
      </c>
      <c r="S478" s="789">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4">
        <f t="shared" si="93"/>
        <v>0</v>
      </c>
      <c r="S479" s="789">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4">
        <f t="shared" si="93"/>
        <v>0</v>
      </c>
      <c r="S480" s="789">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4">
        <f t="shared" si="93"/>
        <v>0</v>
      </c>
      <c r="S481" s="789">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4">
        <f t="shared" si="93"/>
        <v>0</v>
      </c>
      <c r="S482" s="789">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4">
        <f t="shared" si="93"/>
        <v>0</v>
      </c>
      <c r="S483" s="789">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4">
        <f t="shared" si="93"/>
        <v>0</v>
      </c>
      <c r="S484" s="789">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4">
        <f t="shared" si="93"/>
        <v>0</v>
      </c>
      <c r="S485" s="789">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4">
        <f t="shared" si="93"/>
        <v>0</v>
      </c>
      <c r="S486" s="789">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4">
        <f t="shared" si="93"/>
        <v>0</v>
      </c>
      <c r="S487" s="789">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4">
        <f t="shared" si="93"/>
        <v>0</v>
      </c>
      <c r="S488" s="789">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4">
        <f t="shared" si="93"/>
        <v>0</v>
      </c>
      <c r="S489" s="789">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4">
        <f t="shared" si="93"/>
        <v>0</v>
      </c>
      <c r="S490" s="789">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4">
        <f t="shared" si="93"/>
        <v>0</v>
      </c>
      <c r="S491" s="789">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4">
        <f t="shared" si="93"/>
        <v>0</v>
      </c>
      <c r="S492" s="789">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4">
        <f t="shared" si="93"/>
        <v>0</v>
      </c>
      <c r="S493" s="789">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4">
        <f t="shared" si="93"/>
        <v>0</v>
      </c>
      <c r="S494" s="789">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4">
        <f t="shared" si="93"/>
        <v>0</v>
      </c>
      <c r="S495" s="789">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4">
        <f t="shared" si="93"/>
        <v>0</v>
      </c>
      <c r="S496" s="789">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4">
        <f t="shared" si="93"/>
        <v>0</v>
      </c>
      <c r="S497" s="789">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4">
        <f t="shared" si="93"/>
        <v>0</v>
      </c>
      <c r="S498" s="789">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4">
        <f t="shared" si="93"/>
        <v>0</v>
      </c>
      <c r="S499" s="789">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4">
        <f t="shared" si="93"/>
        <v>0</v>
      </c>
      <c r="S500" s="789">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4">
        <f t="shared" si="93"/>
        <v>0</v>
      </c>
      <c r="S501" s="789">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4">
        <f t="shared" si="93"/>
        <v>0</v>
      </c>
      <c r="S502" s="789">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4">
        <f t="shared" si="93"/>
        <v>0</v>
      </c>
      <c r="S503" s="789">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4">
        <f t="shared" si="93"/>
        <v>0</v>
      </c>
      <c r="S504" s="789">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4">
        <f t="shared" si="93"/>
        <v>0</v>
      </c>
      <c r="S505" s="789">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4">
        <f t="shared" si="93"/>
        <v>0</v>
      </c>
      <c r="S506" s="789">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4">
        <f t="shared" si="93"/>
        <v>0</v>
      </c>
      <c r="S507" s="789">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4">
        <f t="shared" si="93"/>
        <v>0</v>
      </c>
      <c r="S508" s="789">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4">
        <f t="shared" si="93"/>
        <v>0</v>
      </c>
      <c r="S509" s="789">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4">
        <f t="shared" si="93"/>
        <v>0</v>
      </c>
      <c r="S510" s="789">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4">
        <f t="shared" si="93"/>
        <v>0</v>
      </c>
      <c r="S511" s="789">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4">
        <f t="shared" si="93"/>
        <v>0</v>
      </c>
      <c r="S512" s="789">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4">
        <f t="shared" si="93"/>
        <v>0</v>
      </c>
      <c r="S513" s="789">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4">
        <f t="shared" si="93"/>
        <v>0</v>
      </c>
      <c r="S514" s="789">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4">
        <f t="shared" si="93"/>
        <v>0</v>
      </c>
      <c r="S515" s="789">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4">
        <f t="shared" si="93"/>
        <v>0</v>
      </c>
      <c r="S516" s="789">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4">
        <f t="shared" si="93"/>
        <v>0</v>
      </c>
      <c r="S517" s="789">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4">
        <f t="shared" si="93"/>
        <v>0</v>
      </c>
      <c r="S518" s="789">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4">
        <f t="shared" si="93"/>
        <v>0</v>
      </c>
      <c r="S519" s="789">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4">
        <f t="shared" si="93"/>
        <v>0</v>
      </c>
      <c r="S520" s="789">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4">
        <f t="shared" si="93"/>
        <v>0</v>
      </c>
      <c r="S521" s="789">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4">
        <f t="shared" si="93"/>
        <v>0</v>
      </c>
      <c r="S522" s="789">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4">
        <f t="shared" si="93"/>
        <v>0</v>
      </c>
      <c r="S523" s="789">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44295</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2992</v>
      </c>
      <c r="C17" s="2708">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F10" sqref="F10"/>
    </sheetView>
  </sheetViews>
  <sheetFormatPr defaultRowHeight="13.5"/>
  <cols>
    <col min="1" max="1" width="18.375" customWidth="1"/>
    <col min="2" max="2" width="16.875" customWidth="1"/>
    <col min="6" max="6" width="27.25" customWidth="1"/>
    <col min="8" max="8" width="18.125" customWidth="1"/>
    <col min="15" max="15" width="14.625" customWidth="1"/>
  </cols>
  <sheetData>
    <row r="1" spans="1:17">
      <c r="A1" s="3277" t="s">
        <v>3022</v>
      </c>
      <c r="B1" s="3277" t="s">
        <v>3023</v>
      </c>
      <c r="C1" s="3277" t="s">
        <v>3024</v>
      </c>
      <c r="D1" s="3277" t="s">
        <v>3025</v>
      </c>
      <c r="E1" s="3277" t="s">
        <v>3026</v>
      </c>
      <c r="F1" s="3277" t="s">
        <v>2021</v>
      </c>
      <c r="G1" s="3277" t="s">
        <v>3027</v>
      </c>
      <c r="H1" s="3277" t="s">
        <v>3028</v>
      </c>
      <c r="I1" s="3277" t="s">
        <v>3029</v>
      </c>
      <c r="J1" s="3277" t="s">
        <v>3030</v>
      </c>
      <c r="K1" s="3277" t="s">
        <v>3031</v>
      </c>
      <c r="L1" s="3277" t="s">
        <v>3032</v>
      </c>
      <c r="M1" s="3277" t="s">
        <v>3033</v>
      </c>
      <c r="N1" s="3277" t="s">
        <v>3034</v>
      </c>
      <c r="O1" s="3277" t="s">
        <v>3035</v>
      </c>
      <c r="P1" s="3277" t="s">
        <v>3036</v>
      </c>
    </row>
    <row r="2" spans="1:17" s="3281" customFormat="1">
      <c r="A2" s="3280" t="s">
        <v>3037</v>
      </c>
      <c r="B2" s="3280" t="s">
        <v>3038</v>
      </c>
      <c r="C2" s="3280" t="s">
        <v>3039</v>
      </c>
      <c r="D2" s="3280">
        <v>36098</v>
      </c>
      <c r="E2" s="3280">
        <v>79415.600000000006</v>
      </c>
      <c r="F2" s="3280" t="s">
        <v>3040</v>
      </c>
      <c r="G2" s="3280" t="s">
        <v>3041</v>
      </c>
      <c r="H2" s="3280" t="s">
        <v>3042</v>
      </c>
      <c r="I2" s="3280" t="s">
        <v>3043</v>
      </c>
      <c r="J2" s="3280" t="s">
        <v>3043</v>
      </c>
      <c r="K2" s="3280">
        <v>6551.78</v>
      </c>
      <c r="L2" s="3280">
        <v>6551.78</v>
      </c>
      <c r="M2" s="3280">
        <v>825</v>
      </c>
      <c r="N2" s="3280">
        <v>0</v>
      </c>
      <c r="O2" s="3280" t="s">
        <v>3044</v>
      </c>
      <c r="P2" s="3280" t="s">
        <v>3045</v>
      </c>
      <c r="Q2" s="3281">
        <f>ROUND(L2*10000/D2,0)</f>
        <v>1815</v>
      </c>
    </row>
    <row r="3" spans="1:17">
      <c r="A3" s="3277" t="s">
        <v>3037</v>
      </c>
      <c r="B3" s="3277" t="s">
        <v>3038</v>
      </c>
      <c r="C3" s="3277" t="s">
        <v>3039</v>
      </c>
      <c r="D3" s="3277">
        <v>37309</v>
      </c>
      <c r="E3" s="3277">
        <v>82079.8</v>
      </c>
      <c r="F3" s="3277" t="s">
        <v>3040</v>
      </c>
      <c r="G3" s="3277" t="s">
        <v>3041</v>
      </c>
      <c r="H3" s="3277" t="s">
        <v>3042</v>
      </c>
      <c r="I3" s="3277" t="s">
        <v>3043</v>
      </c>
      <c r="J3" s="3277" t="s">
        <v>3043</v>
      </c>
      <c r="K3" s="3277">
        <v>6771.57</v>
      </c>
      <c r="L3" s="3277">
        <v>6771.57</v>
      </c>
      <c r="M3" s="3277">
        <v>825</v>
      </c>
      <c r="N3" s="3277">
        <v>0</v>
      </c>
      <c r="O3" s="3277" t="s">
        <v>3044</v>
      </c>
      <c r="P3" s="3277" t="s">
        <v>3045</v>
      </c>
      <c r="Q3" s="3281">
        <f t="shared" ref="Q3:Q27" si="0">ROUND(L3*10000/D3,0)</f>
        <v>1815</v>
      </c>
    </row>
    <row r="4" spans="1:17">
      <c r="A4" s="3277" t="s">
        <v>3037</v>
      </c>
      <c r="B4" s="3277" t="s">
        <v>3038</v>
      </c>
      <c r="C4" s="3277" t="s">
        <v>3039</v>
      </c>
      <c r="D4" s="3277">
        <v>59954</v>
      </c>
      <c r="E4" s="3277">
        <v>131898.79999999999</v>
      </c>
      <c r="F4" s="3277" t="s">
        <v>3040</v>
      </c>
      <c r="G4" s="3277" t="s">
        <v>3041</v>
      </c>
      <c r="H4" s="3277" t="s">
        <v>3042</v>
      </c>
      <c r="I4" s="3277" t="s">
        <v>3046</v>
      </c>
      <c r="J4" s="3277" t="s">
        <v>3046</v>
      </c>
      <c r="K4" s="3277">
        <v>10881.64</v>
      </c>
      <c r="L4" s="3277">
        <v>10881.64</v>
      </c>
      <c r="M4" s="3277">
        <v>825</v>
      </c>
      <c r="N4" s="3277">
        <v>0</v>
      </c>
      <c r="O4" s="3277" t="s">
        <v>3044</v>
      </c>
      <c r="P4" s="3277" t="s">
        <v>3045</v>
      </c>
      <c r="Q4" s="3281">
        <f t="shared" si="0"/>
        <v>1815</v>
      </c>
    </row>
    <row r="5" spans="1:17">
      <c r="A5" s="3277" t="s">
        <v>3037</v>
      </c>
      <c r="B5" s="3277" t="s">
        <v>3038</v>
      </c>
      <c r="C5" s="3277" t="s">
        <v>3039</v>
      </c>
      <c r="D5" s="3277">
        <v>36098</v>
      </c>
      <c r="E5" s="3277">
        <v>79415.600000000006</v>
      </c>
      <c r="F5" s="3277" t="s">
        <v>3040</v>
      </c>
      <c r="G5" s="3277" t="s">
        <v>3041</v>
      </c>
      <c r="H5" s="3277" t="s">
        <v>3042</v>
      </c>
      <c r="I5" s="3277" t="s">
        <v>3046</v>
      </c>
      <c r="J5" s="3277" t="s">
        <v>3046</v>
      </c>
      <c r="K5" s="3277">
        <v>6551.78</v>
      </c>
      <c r="L5" s="3277">
        <v>6551.78</v>
      </c>
      <c r="M5" s="3277">
        <v>825</v>
      </c>
      <c r="N5" s="3277">
        <v>0</v>
      </c>
      <c r="O5" s="3277" t="s">
        <v>3044</v>
      </c>
      <c r="P5" s="3277" t="s">
        <v>3045</v>
      </c>
      <c r="Q5" s="3281">
        <f t="shared" si="0"/>
        <v>1815</v>
      </c>
    </row>
    <row r="6" spans="1:17">
      <c r="A6" s="3277" t="s">
        <v>3037</v>
      </c>
      <c r="B6" s="3277" t="s">
        <v>3038</v>
      </c>
      <c r="C6" s="3277" t="s">
        <v>3039</v>
      </c>
      <c r="D6" s="3277">
        <v>1886</v>
      </c>
      <c r="E6" s="3277">
        <v>5658</v>
      </c>
      <c r="F6" s="3277" t="s">
        <v>3047</v>
      </c>
      <c r="G6" s="3277" t="s">
        <v>3041</v>
      </c>
      <c r="H6" s="3277" t="s">
        <v>3042</v>
      </c>
      <c r="I6" s="3277" t="s">
        <v>3048</v>
      </c>
      <c r="J6" s="3277" t="s">
        <v>3048</v>
      </c>
      <c r="K6" s="3277">
        <v>353.62</v>
      </c>
      <c r="L6" s="3277">
        <v>353.62</v>
      </c>
      <c r="M6" s="3277">
        <v>625</v>
      </c>
      <c r="N6" s="3277">
        <v>0</v>
      </c>
      <c r="O6" s="3277" t="s">
        <v>3049</v>
      </c>
      <c r="P6" s="3277" t="s">
        <v>3045</v>
      </c>
      <c r="Q6" s="3281">
        <f t="shared" si="0"/>
        <v>1875</v>
      </c>
    </row>
    <row r="7" spans="1:17" s="3281" customFormat="1">
      <c r="A7" s="3280" t="s">
        <v>3037</v>
      </c>
      <c r="B7" s="3280" t="s">
        <v>3038</v>
      </c>
      <c r="C7" s="3280" t="s">
        <v>3039</v>
      </c>
      <c r="D7" s="3280">
        <v>65445</v>
      </c>
      <c r="E7" s="3280">
        <v>143979</v>
      </c>
      <c r="F7" s="3280" t="s">
        <v>3040</v>
      </c>
      <c r="G7" s="3280" t="s">
        <v>3041</v>
      </c>
      <c r="H7" s="3280" t="s">
        <v>3042</v>
      </c>
      <c r="I7" s="3280" t="s">
        <v>3048</v>
      </c>
      <c r="J7" s="3280" t="s">
        <v>3048</v>
      </c>
      <c r="K7" s="3280">
        <v>11878.27</v>
      </c>
      <c r="L7" s="3280">
        <v>11878.27</v>
      </c>
      <c r="M7" s="3280">
        <v>825</v>
      </c>
      <c r="N7" s="3280">
        <v>0</v>
      </c>
      <c r="O7" s="3280" t="s">
        <v>3044</v>
      </c>
      <c r="P7" s="3280" t="s">
        <v>3045</v>
      </c>
      <c r="Q7" s="3281">
        <f t="shared" si="0"/>
        <v>1815</v>
      </c>
    </row>
    <row r="8" spans="1:17">
      <c r="A8" s="3277" t="s">
        <v>3037</v>
      </c>
      <c r="B8" s="3277" t="s">
        <v>3038</v>
      </c>
      <c r="C8" s="3277" t="s">
        <v>3039</v>
      </c>
      <c r="D8" s="3277">
        <v>65627</v>
      </c>
      <c r="E8" s="3277">
        <v>164067.5</v>
      </c>
      <c r="F8" s="3277" t="s">
        <v>3050</v>
      </c>
      <c r="G8" s="3277" t="s">
        <v>3041</v>
      </c>
      <c r="H8" s="3277" t="s">
        <v>3051</v>
      </c>
      <c r="I8" s="3277" t="s">
        <v>3052</v>
      </c>
      <c r="J8" s="3277" t="s">
        <v>3052</v>
      </c>
      <c r="K8" s="3277">
        <v>12075.37</v>
      </c>
      <c r="L8" s="3277">
        <v>12075.37</v>
      </c>
      <c r="M8" s="3277">
        <v>736</v>
      </c>
      <c r="N8" s="3277">
        <v>0</v>
      </c>
      <c r="O8" s="3277" t="s">
        <v>3044</v>
      </c>
      <c r="P8" s="3277" t="s">
        <v>3053</v>
      </c>
      <c r="Q8" s="3281">
        <f t="shared" si="0"/>
        <v>1840</v>
      </c>
    </row>
    <row r="9" spans="1:17" s="3279" customFormat="1">
      <c r="A9" s="3278" t="s">
        <v>3037</v>
      </c>
      <c r="B9" s="3278" t="s">
        <v>3038</v>
      </c>
      <c r="C9" s="3278" t="s">
        <v>3039</v>
      </c>
      <c r="D9" s="3278">
        <v>67691</v>
      </c>
      <c r="E9" s="3278">
        <v>81229.2</v>
      </c>
      <c r="F9" s="3278" t="s">
        <v>3054</v>
      </c>
      <c r="G9" s="3278" t="s">
        <v>3041</v>
      </c>
      <c r="H9" s="3278" t="s">
        <v>3051</v>
      </c>
      <c r="I9" s="3278" t="s">
        <v>3052</v>
      </c>
      <c r="J9" s="3278" t="s">
        <v>3052</v>
      </c>
      <c r="K9" s="3278">
        <v>9510.59</v>
      </c>
      <c r="L9" s="3278">
        <v>9510.59</v>
      </c>
      <c r="M9" s="3278">
        <v>1170.82</v>
      </c>
      <c r="N9" s="3278">
        <v>0</v>
      </c>
      <c r="O9" s="3278" t="s">
        <v>3055</v>
      </c>
      <c r="P9" s="3278" t="s">
        <v>3053</v>
      </c>
      <c r="Q9" s="3281">
        <f t="shared" si="0"/>
        <v>1405</v>
      </c>
    </row>
    <row r="10" spans="1:17" s="3279" customFormat="1">
      <c r="A10" s="3278" t="s">
        <v>3037</v>
      </c>
      <c r="B10" s="3278" t="s">
        <v>3038</v>
      </c>
      <c r="C10" s="3278" t="s">
        <v>3039</v>
      </c>
      <c r="D10" s="3278">
        <v>59696</v>
      </c>
      <c r="E10" s="3278">
        <v>71635.199999999997</v>
      </c>
      <c r="F10" s="3278" t="s">
        <v>3054</v>
      </c>
      <c r="G10" s="3278" t="s">
        <v>3041</v>
      </c>
      <c r="H10" s="3278" t="s">
        <v>3051</v>
      </c>
      <c r="I10" s="3278" t="s">
        <v>3052</v>
      </c>
      <c r="J10" s="3278" t="s">
        <v>3052</v>
      </c>
      <c r="K10" s="3278">
        <v>8387.2900000000009</v>
      </c>
      <c r="L10" s="3278">
        <v>8387.2900000000009</v>
      </c>
      <c r="M10" s="3278">
        <v>1170.82</v>
      </c>
      <c r="N10" s="3278">
        <v>0</v>
      </c>
      <c r="O10" s="3282" t="s">
        <v>3082</v>
      </c>
      <c r="P10" s="3278" t="s">
        <v>3053</v>
      </c>
      <c r="Q10" s="3281">
        <f t="shared" si="0"/>
        <v>1405</v>
      </c>
    </row>
    <row r="11" spans="1:17" s="3279" customFormat="1">
      <c r="A11" s="3278" t="s">
        <v>3037</v>
      </c>
      <c r="B11" s="3278" t="s">
        <v>3038</v>
      </c>
      <c r="C11" s="3278" t="s">
        <v>3039</v>
      </c>
      <c r="D11" s="3278">
        <v>67353</v>
      </c>
      <c r="E11" s="3278">
        <v>80823.600000000006</v>
      </c>
      <c r="F11" s="3278" t="s">
        <v>3054</v>
      </c>
      <c r="G11" s="3278" t="s">
        <v>3041</v>
      </c>
      <c r="H11" s="3278" t="s">
        <v>3051</v>
      </c>
      <c r="I11" s="3278" t="s">
        <v>3052</v>
      </c>
      <c r="J11" s="3278" t="s">
        <v>3052</v>
      </c>
      <c r="K11" s="3278">
        <v>9463.1</v>
      </c>
      <c r="L11" s="3278">
        <v>9463.1</v>
      </c>
      <c r="M11" s="3278">
        <v>1170.82</v>
      </c>
      <c r="N11" s="3278">
        <v>0</v>
      </c>
      <c r="O11" s="3278" t="s">
        <v>3055</v>
      </c>
      <c r="P11" s="3278" t="s">
        <v>3053</v>
      </c>
      <c r="Q11" s="3281">
        <f t="shared" si="0"/>
        <v>1405</v>
      </c>
    </row>
    <row r="12" spans="1:17">
      <c r="A12" s="3277" t="s">
        <v>3037</v>
      </c>
      <c r="B12" s="3277" t="s">
        <v>3038</v>
      </c>
      <c r="C12" s="3277" t="s">
        <v>3039</v>
      </c>
      <c r="D12" s="3277">
        <v>27692</v>
      </c>
      <c r="E12" s="3277">
        <v>30461.200000000001</v>
      </c>
      <c r="F12" s="3277" t="s">
        <v>3056</v>
      </c>
      <c r="G12" s="3277" t="s">
        <v>3041</v>
      </c>
      <c r="H12" s="3277" t="s">
        <v>3051</v>
      </c>
      <c r="I12" s="3277" t="s">
        <v>3057</v>
      </c>
      <c r="J12" s="3277" t="s">
        <v>3057</v>
      </c>
      <c r="K12" s="3277">
        <v>2298.44</v>
      </c>
      <c r="L12" s="3277">
        <v>2298.44</v>
      </c>
      <c r="M12" s="3277">
        <v>754.54</v>
      </c>
      <c r="N12" s="3277">
        <v>0</v>
      </c>
      <c r="O12" s="3277" t="s">
        <v>3058</v>
      </c>
      <c r="P12" s="3277" t="s">
        <v>3053</v>
      </c>
      <c r="Q12" s="3281">
        <f t="shared" si="0"/>
        <v>830</v>
      </c>
    </row>
    <row r="13" spans="1:17">
      <c r="A13" s="3277" t="s">
        <v>3037</v>
      </c>
      <c r="B13" s="3277" t="s">
        <v>3038</v>
      </c>
      <c r="C13" s="3277" t="s">
        <v>3039</v>
      </c>
      <c r="D13" s="3277">
        <v>18099</v>
      </c>
      <c r="E13" s="3277">
        <v>19908.900000000001</v>
      </c>
      <c r="F13" s="3277" t="s">
        <v>3056</v>
      </c>
      <c r="G13" s="3277" t="s">
        <v>3041</v>
      </c>
      <c r="H13" s="3277" t="s">
        <v>3051</v>
      </c>
      <c r="I13" s="3277" t="s">
        <v>3057</v>
      </c>
      <c r="J13" s="3277" t="s">
        <v>3057</v>
      </c>
      <c r="K13" s="3277">
        <v>1502.22</v>
      </c>
      <c r="L13" s="3277">
        <v>1502.22</v>
      </c>
      <c r="M13" s="3277">
        <v>754.54</v>
      </c>
      <c r="N13" s="3277">
        <v>0</v>
      </c>
      <c r="O13" s="3277" t="s">
        <v>3058</v>
      </c>
      <c r="P13" s="3277" t="s">
        <v>3053</v>
      </c>
      <c r="Q13" s="3281">
        <f t="shared" si="0"/>
        <v>830</v>
      </c>
    </row>
    <row r="14" spans="1:17" s="3281" customFormat="1">
      <c r="A14" s="3280" t="s">
        <v>3037</v>
      </c>
      <c r="B14" s="3280" t="s">
        <v>3038</v>
      </c>
      <c r="C14" s="3280" t="s">
        <v>3039</v>
      </c>
      <c r="D14" s="3280">
        <v>18898</v>
      </c>
      <c r="E14" s="3280">
        <v>41575.599999999999</v>
      </c>
      <c r="F14" s="3280" t="s">
        <v>3040</v>
      </c>
      <c r="G14" s="3280" t="s">
        <v>3041</v>
      </c>
      <c r="H14" s="3280" t="s">
        <v>3051</v>
      </c>
      <c r="I14" s="3280" t="s">
        <v>3059</v>
      </c>
      <c r="J14" s="3280" t="s">
        <v>3059</v>
      </c>
      <c r="K14" s="3280">
        <v>3751.25</v>
      </c>
      <c r="L14" s="3280">
        <v>3751.25</v>
      </c>
      <c r="M14" s="3280">
        <v>902.26</v>
      </c>
      <c r="N14" s="3280">
        <v>0</v>
      </c>
      <c r="O14" s="3280" t="s">
        <v>3060</v>
      </c>
      <c r="P14" s="3280" t="s">
        <v>3053</v>
      </c>
      <c r="Q14" s="3281">
        <f t="shared" si="0"/>
        <v>1985</v>
      </c>
    </row>
    <row r="15" spans="1:17">
      <c r="A15" s="3277" t="s">
        <v>3037</v>
      </c>
      <c r="B15" s="3277" t="s">
        <v>3038</v>
      </c>
      <c r="C15" s="3277" t="s">
        <v>3039</v>
      </c>
      <c r="D15" s="3277">
        <v>35948</v>
      </c>
      <c r="E15" s="3277">
        <v>43137.599999999999</v>
      </c>
      <c r="F15" s="3277" t="s">
        <v>3054</v>
      </c>
      <c r="G15" s="3277" t="s">
        <v>3041</v>
      </c>
      <c r="H15" s="3277" t="s">
        <v>3051</v>
      </c>
      <c r="I15" s="3277" t="s">
        <v>3061</v>
      </c>
      <c r="J15" s="3277" t="s">
        <v>3061</v>
      </c>
      <c r="K15" s="3277">
        <v>3235.32</v>
      </c>
      <c r="L15" s="3277">
        <v>3235.32</v>
      </c>
      <c r="M15" s="3277">
        <v>750</v>
      </c>
      <c r="N15" s="3277">
        <v>0</v>
      </c>
      <c r="O15" s="3277" t="s">
        <v>3058</v>
      </c>
      <c r="P15" s="3277" t="s">
        <v>3053</v>
      </c>
      <c r="Q15" s="3281">
        <f t="shared" si="0"/>
        <v>900</v>
      </c>
    </row>
    <row r="16" spans="1:17">
      <c r="A16" s="3277" t="s">
        <v>3062</v>
      </c>
      <c r="B16" s="3277" t="s">
        <v>3038</v>
      </c>
      <c r="C16" s="3277" t="s">
        <v>3039</v>
      </c>
      <c r="D16" s="3277">
        <v>55691</v>
      </c>
      <c r="E16" s="3277">
        <v>89105.600000000006</v>
      </c>
      <c r="F16" s="3277" t="s">
        <v>3063</v>
      </c>
      <c r="G16" s="3277" t="s">
        <v>3041</v>
      </c>
      <c r="H16" s="3277" t="s">
        <v>3051</v>
      </c>
      <c r="I16" s="3277" t="s">
        <v>3061</v>
      </c>
      <c r="J16" s="3277" t="s">
        <v>3061</v>
      </c>
      <c r="K16" s="3277">
        <v>6432.31</v>
      </c>
      <c r="L16" s="3277">
        <v>6432.31</v>
      </c>
      <c r="M16" s="3277">
        <v>721.87</v>
      </c>
      <c r="N16" s="3277">
        <v>0</v>
      </c>
      <c r="O16" s="3277" t="s">
        <v>3058</v>
      </c>
      <c r="P16" s="3277" t="s">
        <v>3053</v>
      </c>
      <c r="Q16" s="3281">
        <f t="shared" si="0"/>
        <v>1155</v>
      </c>
    </row>
    <row r="17" spans="1:17">
      <c r="A17" s="3277" t="s">
        <v>3037</v>
      </c>
      <c r="B17" s="3277" t="s">
        <v>3038</v>
      </c>
      <c r="C17" s="3277" t="s">
        <v>3039</v>
      </c>
      <c r="D17" s="3277">
        <v>5573</v>
      </c>
      <c r="E17" s="3277">
        <v>6130.3</v>
      </c>
      <c r="F17" s="3277" t="s">
        <v>3056</v>
      </c>
      <c r="G17" s="3277" t="s">
        <v>3041</v>
      </c>
      <c r="H17" s="3277" t="s">
        <v>3051</v>
      </c>
      <c r="I17" s="3277" t="s">
        <v>3061</v>
      </c>
      <c r="J17" s="3277" t="s">
        <v>3061</v>
      </c>
      <c r="K17" s="3277">
        <v>462.56</v>
      </c>
      <c r="L17" s="3277">
        <v>462.56</v>
      </c>
      <c r="M17" s="3277">
        <v>754.54</v>
      </c>
      <c r="N17" s="3277">
        <v>0</v>
      </c>
      <c r="O17" s="3277" t="s">
        <v>3058</v>
      </c>
      <c r="P17" s="3277" t="s">
        <v>3053</v>
      </c>
      <c r="Q17" s="3281">
        <f t="shared" si="0"/>
        <v>830</v>
      </c>
    </row>
    <row r="18" spans="1:17">
      <c r="A18" s="3277" t="s">
        <v>3062</v>
      </c>
      <c r="B18" s="3277" t="s">
        <v>3038</v>
      </c>
      <c r="C18" s="3277" t="s">
        <v>3039</v>
      </c>
      <c r="D18" s="3277">
        <v>28772</v>
      </c>
      <c r="E18" s="3277">
        <v>37403.599999999999</v>
      </c>
      <c r="F18" s="3277" t="s">
        <v>3064</v>
      </c>
      <c r="G18" s="3277" t="s">
        <v>3041</v>
      </c>
      <c r="H18" s="3277" t="s">
        <v>3051</v>
      </c>
      <c r="I18" s="3277" t="s">
        <v>3061</v>
      </c>
      <c r="J18" s="3277" t="s">
        <v>3061</v>
      </c>
      <c r="K18" s="3277">
        <v>3495.8</v>
      </c>
      <c r="L18" s="3277">
        <v>3495.8</v>
      </c>
      <c r="M18" s="3277">
        <v>934.62</v>
      </c>
      <c r="N18" s="3277">
        <v>0</v>
      </c>
      <c r="O18" s="3277" t="s">
        <v>3058</v>
      </c>
      <c r="P18" s="3277" t="s">
        <v>3053</v>
      </c>
      <c r="Q18" s="3281">
        <f t="shared" si="0"/>
        <v>1215</v>
      </c>
    </row>
    <row r="19" spans="1:17">
      <c r="A19" s="3277" t="s">
        <v>3037</v>
      </c>
      <c r="B19" s="3277" t="s">
        <v>3038</v>
      </c>
      <c r="C19" s="3277" t="s">
        <v>3039</v>
      </c>
      <c r="D19" s="3277">
        <v>21044</v>
      </c>
      <c r="E19" s="3277">
        <v>25252.799999999999</v>
      </c>
      <c r="F19" s="3277" t="s">
        <v>3054</v>
      </c>
      <c r="G19" s="3277" t="s">
        <v>3041</v>
      </c>
      <c r="H19" s="3277" t="s">
        <v>3051</v>
      </c>
      <c r="I19" s="3277" t="s">
        <v>3061</v>
      </c>
      <c r="J19" s="3277" t="s">
        <v>3061</v>
      </c>
      <c r="K19" s="3277">
        <v>1893.96</v>
      </c>
      <c r="L19" s="3277">
        <v>1893.96</v>
      </c>
      <c r="M19" s="3277">
        <v>750</v>
      </c>
      <c r="N19" s="3277">
        <v>0</v>
      </c>
      <c r="O19" s="3277" t="s">
        <v>3058</v>
      </c>
      <c r="P19" s="3277" t="s">
        <v>3053</v>
      </c>
      <c r="Q19" s="3281">
        <f t="shared" si="0"/>
        <v>900</v>
      </c>
    </row>
    <row r="20" spans="1:17">
      <c r="A20" s="3277" t="s">
        <v>3062</v>
      </c>
      <c r="B20" s="3277" t="s">
        <v>3038</v>
      </c>
      <c r="C20" s="3277" t="s">
        <v>3039</v>
      </c>
      <c r="D20" s="3277">
        <v>7768</v>
      </c>
      <c r="E20" s="3277">
        <v>12428.8</v>
      </c>
      <c r="F20" s="3277" t="s">
        <v>3063</v>
      </c>
      <c r="G20" s="3277" t="s">
        <v>3041</v>
      </c>
      <c r="H20" s="3277" t="s">
        <v>3051</v>
      </c>
      <c r="I20" s="3277" t="s">
        <v>3061</v>
      </c>
      <c r="J20" s="3277" t="s">
        <v>3061</v>
      </c>
      <c r="K20" s="3277">
        <v>897.2</v>
      </c>
      <c r="L20" s="3277">
        <v>897.2</v>
      </c>
      <c r="M20" s="3277">
        <v>721.87</v>
      </c>
      <c r="N20" s="3277">
        <v>0</v>
      </c>
      <c r="O20" s="3277" t="s">
        <v>3058</v>
      </c>
      <c r="P20" s="3277" t="s">
        <v>3053</v>
      </c>
      <c r="Q20" s="3281">
        <f t="shared" si="0"/>
        <v>1155</v>
      </c>
    </row>
    <row r="21" spans="1:17">
      <c r="A21" s="3277" t="s">
        <v>3037</v>
      </c>
      <c r="B21" s="3277" t="s">
        <v>3038</v>
      </c>
      <c r="C21" s="3277" t="s">
        <v>3039</v>
      </c>
      <c r="D21" s="3277">
        <v>23362</v>
      </c>
      <c r="E21" s="3277">
        <v>25698.2</v>
      </c>
      <c r="F21" s="3277" t="s">
        <v>3056</v>
      </c>
      <c r="G21" s="3277" t="s">
        <v>3041</v>
      </c>
      <c r="H21" s="3277" t="s">
        <v>3051</v>
      </c>
      <c r="I21" s="3277" t="s">
        <v>3061</v>
      </c>
      <c r="J21" s="3277" t="s">
        <v>3061</v>
      </c>
      <c r="K21" s="3277">
        <v>1939.04</v>
      </c>
      <c r="L21" s="3277">
        <v>1939.04</v>
      </c>
      <c r="M21" s="3277">
        <v>754.54</v>
      </c>
      <c r="N21" s="3277">
        <v>0</v>
      </c>
      <c r="O21" s="3277" t="s">
        <v>3058</v>
      </c>
      <c r="P21" s="3277" t="s">
        <v>3053</v>
      </c>
      <c r="Q21" s="3281">
        <f t="shared" si="0"/>
        <v>830</v>
      </c>
    </row>
    <row r="22" spans="1:17">
      <c r="A22" s="3277" t="s">
        <v>3037</v>
      </c>
      <c r="B22" s="3277" t="s">
        <v>3038</v>
      </c>
      <c r="C22" s="3277" t="s">
        <v>3039</v>
      </c>
      <c r="D22" s="3277">
        <v>4653</v>
      </c>
      <c r="E22" s="3277">
        <v>5583.6</v>
      </c>
      <c r="F22" s="3277" t="s">
        <v>3054</v>
      </c>
      <c r="G22" s="3277" t="s">
        <v>3041</v>
      </c>
      <c r="H22" s="3277" t="s">
        <v>3051</v>
      </c>
      <c r="I22" s="3277" t="s">
        <v>3061</v>
      </c>
      <c r="J22" s="3277" t="s">
        <v>3061</v>
      </c>
      <c r="K22" s="3277">
        <v>418.76</v>
      </c>
      <c r="L22" s="3277">
        <v>418.76</v>
      </c>
      <c r="M22" s="3277">
        <v>750</v>
      </c>
      <c r="N22" s="3277">
        <v>0</v>
      </c>
      <c r="O22" s="3277" t="s">
        <v>3058</v>
      </c>
      <c r="P22" s="3277" t="s">
        <v>3053</v>
      </c>
      <c r="Q22" s="3281">
        <f t="shared" si="0"/>
        <v>900</v>
      </c>
    </row>
    <row r="23" spans="1:17">
      <c r="A23" s="3277" t="s">
        <v>3037</v>
      </c>
      <c r="B23" s="3277" t="s">
        <v>3038</v>
      </c>
      <c r="C23" s="3277" t="s">
        <v>3039</v>
      </c>
      <c r="D23" s="3277">
        <v>27164</v>
      </c>
      <c r="E23" s="3277">
        <v>29880.400000000001</v>
      </c>
      <c r="F23" s="3277" t="s">
        <v>3056</v>
      </c>
      <c r="G23" s="3277" t="s">
        <v>3041</v>
      </c>
      <c r="H23" s="3277" t="s">
        <v>3051</v>
      </c>
      <c r="I23" s="3277" t="s">
        <v>3061</v>
      </c>
      <c r="J23" s="3277" t="s">
        <v>3061</v>
      </c>
      <c r="K23" s="3277">
        <v>2254.61</v>
      </c>
      <c r="L23" s="3277">
        <v>2254.61</v>
      </c>
      <c r="M23" s="3277">
        <v>754.53</v>
      </c>
      <c r="N23" s="3277">
        <v>0</v>
      </c>
      <c r="O23" s="3277" t="s">
        <v>3058</v>
      </c>
      <c r="P23" s="3277" t="s">
        <v>3053</v>
      </c>
      <c r="Q23" s="3281">
        <f t="shared" si="0"/>
        <v>830</v>
      </c>
    </row>
    <row r="24" spans="1:17">
      <c r="A24" s="3277" t="s">
        <v>3037</v>
      </c>
      <c r="B24" s="3277" t="s">
        <v>3038</v>
      </c>
      <c r="C24" s="3277" t="s">
        <v>3039</v>
      </c>
      <c r="D24" s="3277">
        <v>8644</v>
      </c>
      <c r="E24" s="3277">
        <v>12966</v>
      </c>
      <c r="F24" s="3277" t="s">
        <v>3065</v>
      </c>
      <c r="G24" s="3277" t="s">
        <v>3041</v>
      </c>
      <c r="H24" s="3277" t="s">
        <v>3051</v>
      </c>
      <c r="I24" s="3277" t="s">
        <v>3066</v>
      </c>
      <c r="J24" s="3277" t="s">
        <v>3066</v>
      </c>
      <c r="K24" s="3277">
        <v>1115.07</v>
      </c>
      <c r="L24" s="3277">
        <v>1115.07</v>
      </c>
      <c r="M24" s="3277">
        <v>860</v>
      </c>
      <c r="N24" s="3277">
        <v>0</v>
      </c>
      <c r="O24" s="3277" t="s">
        <v>3067</v>
      </c>
      <c r="P24" s="3277" t="s">
        <v>3053</v>
      </c>
      <c r="Q24" s="3281">
        <f t="shared" si="0"/>
        <v>1290</v>
      </c>
    </row>
    <row r="25" spans="1:17">
      <c r="A25" s="3277" t="s">
        <v>3037</v>
      </c>
      <c r="B25" s="3277" t="s">
        <v>3038</v>
      </c>
      <c r="C25" s="3277" t="s">
        <v>3039</v>
      </c>
      <c r="D25" s="3277">
        <v>60570</v>
      </c>
      <c r="E25" s="3277">
        <v>90855</v>
      </c>
      <c r="F25" s="3277" t="s">
        <v>3065</v>
      </c>
      <c r="G25" s="3277" t="s">
        <v>3041</v>
      </c>
      <c r="H25" s="3277" t="s">
        <v>3051</v>
      </c>
      <c r="I25" s="3277" t="s">
        <v>3066</v>
      </c>
      <c r="J25" s="3277" t="s">
        <v>3066</v>
      </c>
      <c r="K25" s="3277">
        <v>7843.81</v>
      </c>
      <c r="L25" s="3277">
        <v>7843.81</v>
      </c>
      <c r="M25" s="3277">
        <v>863.33</v>
      </c>
      <c r="N25" s="3277">
        <v>0</v>
      </c>
      <c r="O25" s="3277" t="s">
        <v>3067</v>
      </c>
      <c r="P25" s="3277" t="s">
        <v>3053</v>
      </c>
      <c r="Q25" s="3281">
        <f t="shared" si="0"/>
        <v>1295</v>
      </c>
    </row>
    <row r="26" spans="1:17">
      <c r="A26" s="3277" t="s">
        <v>3037</v>
      </c>
      <c r="B26" s="3277" t="s">
        <v>3038</v>
      </c>
      <c r="C26" s="3277" t="s">
        <v>3039</v>
      </c>
      <c r="D26" s="3277">
        <v>63537</v>
      </c>
      <c r="E26" s="3277">
        <v>95305.5</v>
      </c>
      <c r="F26" s="3277" t="s">
        <v>3065</v>
      </c>
      <c r="G26" s="3277" t="s">
        <v>3041</v>
      </c>
      <c r="H26" s="3277" t="s">
        <v>3051</v>
      </c>
      <c r="I26" s="3277" t="s">
        <v>3066</v>
      </c>
      <c r="J26" s="3277" t="s">
        <v>3066</v>
      </c>
      <c r="K26" s="3277">
        <v>8228.0400000000009</v>
      </c>
      <c r="L26" s="3277">
        <v>8228.0400000000009</v>
      </c>
      <c r="M26" s="3277">
        <v>863.33</v>
      </c>
      <c r="N26" s="3277">
        <v>0</v>
      </c>
      <c r="O26" s="3277" t="s">
        <v>3067</v>
      </c>
      <c r="P26" s="3277" t="s">
        <v>3053</v>
      </c>
      <c r="Q26" s="3281">
        <f t="shared" si="0"/>
        <v>1295</v>
      </c>
    </row>
    <row r="27" spans="1:17">
      <c r="A27" s="3277" t="s">
        <v>3068</v>
      </c>
      <c r="B27" s="3277" t="s">
        <v>3038</v>
      </c>
      <c r="C27" s="3277" t="s">
        <v>3039</v>
      </c>
      <c r="D27" s="3277">
        <v>68134</v>
      </c>
      <c r="E27" s="3277">
        <v>102201</v>
      </c>
      <c r="F27" s="3277" t="s">
        <v>3065</v>
      </c>
      <c r="G27" s="3277" t="s">
        <v>3041</v>
      </c>
      <c r="H27" s="3277" t="s">
        <v>3069</v>
      </c>
      <c r="I27" s="3277" t="s">
        <v>3070</v>
      </c>
      <c r="J27" s="3277" t="s">
        <v>3070</v>
      </c>
      <c r="K27" s="3277">
        <v>8380.4699999999993</v>
      </c>
      <c r="L27" s="3277">
        <v>8380.4699999999993</v>
      </c>
      <c r="M27" s="3277">
        <v>820</v>
      </c>
      <c r="N27" s="3277">
        <v>0</v>
      </c>
      <c r="O27" s="3277" t="s">
        <v>3067</v>
      </c>
      <c r="P27" s="3277" t="s">
        <v>3053</v>
      </c>
      <c r="Q27" s="3281">
        <f t="shared" si="0"/>
        <v>1230</v>
      </c>
    </row>
    <row r="28" spans="1:17">
      <c r="Q28" s="3281"/>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30" workbookViewId="0">
      <selection activeCell="N135" sqref="N1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1" t="s">
        <v>2027</v>
      </c>
      <c r="B1" s="3311"/>
      <c r="C1" s="3311"/>
      <c r="D1" s="3311"/>
      <c r="E1" s="3311"/>
      <c r="F1" s="3311"/>
      <c r="G1" s="3311"/>
      <c r="H1" s="3311"/>
      <c r="I1" s="3311"/>
      <c r="J1" s="3311"/>
      <c r="K1" s="3311"/>
      <c r="L1" s="3311"/>
      <c r="M1" s="3311"/>
      <c r="N1" s="3311"/>
      <c r="O1" s="3311"/>
      <c r="P1" s="3311"/>
      <c r="Q1" s="3311"/>
      <c r="R1" s="3311"/>
    </row>
    <row r="2" spans="1:18">
      <c r="A2" s="1720" t="s">
        <v>2029</v>
      </c>
      <c r="B2" s="1720"/>
      <c r="C2" s="1720"/>
      <c r="D2" s="1720"/>
      <c r="E2" s="1720"/>
      <c r="F2" s="1720"/>
      <c r="G2" s="1720"/>
      <c r="H2" s="1720"/>
      <c r="I2" s="1721"/>
      <c r="J2" s="1721"/>
      <c r="K2" s="1722" t="str">
        <f>"估价期日："&amp;TEXT(项目基本情况!D3,"yyyy年m月d日;;")</f>
        <v>估价期日：2021年4月9日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12" t="s">
        <v>2018</v>
      </c>
      <c r="B3" s="3312" t="s">
        <v>2711</v>
      </c>
      <c r="C3" s="3313" t="s">
        <v>2019</v>
      </c>
      <c r="D3" s="3312" t="s">
        <v>2715</v>
      </c>
      <c r="E3" s="3307" t="s">
        <v>2020</v>
      </c>
      <c r="F3" s="3307"/>
      <c r="G3" s="3307"/>
      <c r="H3" s="3307" t="s">
        <v>2021</v>
      </c>
      <c r="I3" s="3307"/>
      <c r="J3" s="3307"/>
      <c r="K3" s="3313" t="s">
        <v>2022</v>
      </c>
      <c r="L3" s="3313" t="s">
        <v>2023</v>
      </c>
      <c r="M3" s="3312" t="s">
        <v>2712</v>
      </c>
      <c r="N3" s="3314" t="str">
        <f>"（分摊）"&amp;项目基本情况!B16&amp;"国有建设用地使用权面积/㎡"</f>
        <v>（分摊）出让国有建设用地使用权面积/㎡</v>
      </c>
      <c r="O3" s="3312" t="s">
        <v>2052</v>
      </c>
      <c r="P3" s="3313" t="s">
        <v>2032</v>
      </c>
      <c r="Q3" s="3313" t="s">
        <v>2053</v>
      </c>
      <c r="R3" s="3313" t="s">
        <v>2024</v>
      </c>
    </row>
    <row r="4" spans="1:18" ht="36.75" customHeight="1">
      <c r="A4" s="3312"/>
      <c r="B4" s="3312"/>
      <c r="C4" s="3313"/>
      <c r="D4" s="3312"/>
      <c r="E4" s="2489" t="s">
        <v>2031</v>
      </c>
      <c r="F4" s="2489" t="s">
        <v>2724</v>
      </c>
      <c r="G4" s="2489" t="s">
        <v>2025</v>
      </c>
      <c r="H4" s="2489" t="s">
        <v>2026</v>
      </c>
      <c r="I4" s="2489" t="s">
        <v>2725</v>
      </c>
      <c r="J4" s="2489" t="s">
        <v>2025</v>
      </c>
      <c r="K4" s="3313"/>
      <c r="L4" s="3313"/>
      <c r="M4" s="3312"/>
      <c r="N4" s="3314"/>
      <c r="O4" s="3312"/>
      <c r="P4" s="3313"/>
      <c r="Q4" s="3313"/>
      <c r="R4" s="3313"/>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178018.61</v>
      </c>
      <c r="O5" s="1723">
        <f>项目基本情况!C21</f>
        <v>331534.86</v>
      </c>
      <c r="P5" s="1723">
        <f ca="1">结果表!E42</f>
        <v>1601</v>
      </c>
      <c r="Q5" s="1723">
        <f ca="1">结果表!D42</f>
        <v>860</v>
      </c>
      <c r="R5" s="1724">
        <f ca="1">结果表!C42</f>
        <v>28509</v>
      </c>
    </row>
    <row r="6" spans="1:18">
      <c r="A6" s="3308" t="str">
        <f>IF(项目基本情况!B9="市场价格","——","抵押价格")</f>
        <v>抵押价格</v>
      </c>
      <c r="B6" s="3309"/>
      <c r="C6" s="3309"/>
      <c r="D6" s="3309"/>
      <c r="E6" s="3309"/>
      <c r="F6" s="3309"/>
      <c r="G6" s="3309"/>
      <c r="H6" s="3309"/>
      <c r="I6" s="3309"/>
      <c r="J6" s="3309"/>
      <c r="K6" s="3309"/>
      <c r="L6" s="3309"/>
      <c r="M6" s="3309"/>
      <c r="N6" s="3309"/>
      <c r="O6" s="3309"/>
      <c r="P6" s="3309"/>
      <c r="Q6" s="3310"/>
      <c r="R6" s="1725">
        <f ca="1">结果表!O39</f>
        <v>28509</v>
      </c>
    </row>
    <row r="7" spans="1:18">
      <c r="A7" s="3308" t="str">
        <f>IF(项目基本情况!B9="市场价格","——",IF(项目基本情况!E8="已注销及未注销","抵押担保权已注销时的抵押价格","——"))</f>
        <v>——</v>
      </c>
      <c r="B7" s="3309"/>
      <c r="C7" s="3309"/>
      <c r="D7" s="3309"/>
      <c r="E7" s="3309"/>
      <c r="F7" s="3309"/>
      <c r="G7" s="3309"/>
      <c r="H7" s="3309"/>
      <c r="I7" s="3309"/>
      <c r="J7" s="3309"/>
      <c r="K7" s="3309"/>
      <c r="L7" s="3309"/>
      <c r="M7" s="3309"/>
      <c r="N7" s="3309"/>
      <c r="O7" s="3309"/>
      <c r="P7" s="3309"/>
      <c r="Q7" s="3310"/>
      <c r="R7" s="1725" t="str">
        <f>结果表!O40</f>
        <v>——</v>
      </c>
    </row>
    <row r="8" spans="1:18">
      <c r="A8" s="3308" t="str">
        <f>IF(项目基本情况!B9="市场价格","——",项目基本情况!E9)</f>
        <v>抵押净值</v>
      </c>
      <c r="B8" s="3309"/>
      <c r="C8" s="3309"/>
      <c r="D8" s="3309"/>
      <c r="E8" s="3309"/>
      <c r="F8" s="3309"/>
      <c r="G8" s="3309"/>
      <c r="H8" s="3309"/>
      <c r="I8" s="3309"/>
      <c r="J8" s="3309"/>
      <c r="K8" s="3309"/>
      <c r="L8" s="3309"/>
      <c r="M8" s="3309"/>
      <c r="N8" s="3309"/>
      <c r="O8" s="3309"/>
      <c r="P8" s="3309"/>
      <c r="Q8" s="3310"/>
      <c r="R8" s="1725">
        <f ca="1">结果表!O41</f>
        <v>27002</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16" t="s">
        <v>2054</v>
      </c>
      <c r="B1" s="3316"/>
      <c r="C1" s="3316"/>
      <c r="D1" s="3316"/>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5" t="s">
        <v>2055</v>
      </c>
      <c r="B5" s="3315"/>
      <c r="C5" s="3315"/>
      <c r="D5" s="3315"/>
    </row>
    <row r="6" spans="1:4">
      <c r="A6" s="3316" t="s">
        <v>2033</v>
      </c>
      <c r="B6" s="3316"/>
      <c r="C6" s="3316"/>
      <c r="D6" s="3316"/>
    </row>
    <row r="7" spans="1:4" ht="33" customHeight="1">
      <c r="A7" s="3316" t="s">
        <v>2555</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v>
      </c>
      <c r="B11" s="3318"/>
      <c r="C11" s="3318"/>
      <c r="D11" s="3318"/>
    </row>
    <row r="12" spans="1:4" ht="168" customHeight="1">
      <c r="A12" s="3315" t="s">
        <v>2057</v>
      </c>
      <c r="B12" s="3315"/>
      <c r="C12" s="3315"/>
      <c r="D12" s="3315"/>
    </row>
    <row r="13" spans="1:4">
      <c r="A13" s="3319" t="s">
        <v>2726</v>
      </c>
      <c r="B13" s="3319"/>
      <c r="C13" s="3319"/>
      <c r="D13" s="3319"/>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2682</v>
      </c>
      <c r="B17" s="3316"/>
      <c r="C17" s="3316"/>
      <c r="D17" s="3316"/>
    </row>
    <row r="18" spans="1:4">
      <c r="A18" s="3316" t="s">
        <v>2674</v>
      </c>
      <c r="B18" s="3316"/>
      <c r="C18" s="3316"/>
      <c r="D18" s="3316"/>
    </row>
    <row r="19" spans="1:4">
      <c r="A19" s="2583" t="s">
        <v>2675</v>
      </c>
      <c r="B19" s="2583" t="s">
        <v>2676</v>
      </c>
      <c r="C19" s="2583" t="s">
        <v>2677</v>
      </c>
      <c r="D19" s="2583" t="s">
        <v>2678</v>
      </c>
    </row>
    <row r="20" spans="1:4">
      <c r="A20" s="2583" t="str">
        <f>项目基本情况!B4</f>
        <v>崔锴</v>
      </c>
      <c r="B20" s="2583">
        <f ca="1">项目基本情况!C4</f>
        <v>2010110070</v>
      </c>
      <c r="C20" s="2585"/>
      <c r="D20" s="1713" t="s">
        <v>2683</v>
      </c>
    </row>
    <row r="21" spans="1:4">
      <c r="A21" s="2583" t="str">
        <f>项目基本情况!D4</f>
        <v>郑燚</v>
      </c>
      <c r="B21" s="2583">
        <f ca="1">项目基本情况!E4</f>
        <v>2014110011</v>
      </c>
      <c r="C21" s="2585"/>
      <c r="D21" s="1713" t="s">
        <v>2684</v>
      </c>
    </row>
    <row r="23" spans="1:4">
      <c r="A23" s="3316" t="s">
        <v>2679</v>
      </c>
      <c r="B23" s="3316"/>
      <c r="C23" s="3316"/>
      <c r="D23" s="3316"/>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27" t="s">
        <v>53</v>
      </c>
      <c r="B15" s="3328" t="s">
        <v>838</v>
      </c>
      <c r="C15" s="3324"/>
    </row>
    <row r="16" spans="1:7" ht="14.25">
      <c r="A16" s="3327"/>
      <c r="B16" s="3325" t="s">
        <v>54</v>
      </c>
      <c r="C16" s="1153" t="s">
        <v>53</v>
      </c>
    </row>
    <row r="17" spans="1:3" ht="14.25">
      <c r="A17" s="3327"/>
      <c r="B17" s="3325"/>
      <c r="C17" s="1153" t="s">
        <v>55</v>
      </c>
    </row>
    <row r="18" spans="1:3" ht="14.25">
      <c r="A18" s="3327"/>
      <c r="B18" s="3325"/>
      <c r="C18" s="1153" t="s">
        <v>56</v>
      </c>
    </row>
    <row r="19" spans="1:3" ht="14.25">
      <c r="A19" s="3327"/>
      <c r="B19" s="3323" t="s">
        <v>57</v>
      </c>
      <c r="C19" s="3324"/>
    </row>
    <row r="20" spans="1:3" ht="14.25">
      <c r="A20" s="1154" t="s">
        <v>58</v>
      </c>
      <c r="B20" s="1155"/>
      <c r="C20" s="1156"/>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57" t="s">
        <v>829</v>
      </c>
    </row>
    <row r="25" spans="1:3" ht="14.25">
      <c r="A25" s="3326"/>
      <c r="B25" s="3330"/>
      <c r="C25" s="1157" t="s">
        <v>830</v>
      </c>
    </row>
    <row r="26" spans="1:3" ht="14.25">
      <c r="A26" s="3326"/>
      <c r="B26" s="3330"/>
      <c r="C26" s="1157" t="s">
        <v>831</v>
      </c>
    </row>
    <row r="27" spans="1:3" ht="14.25">
      <c r="A27" s="3326"/>
      <c r="B27" s="3330"/>
      <c r="C27" s="1157" t="s">
        <v>832</v>
      </c>
    </row>
    <row r="28" spans="1:3" ht="14.25">
      <c r="A28" s="3326"/>
      <c r="B28" s="3330"/>
      <c r="C28" s="1157" t="s">
        <v>833</v>
      </c>
    </row>
    <row r="29" spans="1:3" ht="14.25">
      <c r="A29" s="3326"/>
      <c r="B29" s="3330"/>
      <c r="C29" s="1157" t="s">
        <v>834</v>
      </c>
    </row>
    <row r="30" spans="1:3" ht="14.25">
      <c r="A30" s="3326"/>
      <c r="B30" s="3330"/>
      <c r="C30" s="1157" t="s">
        <v>835</v>
      </c>
    </row>
    <row r="31" spans="1:3" ht="14.25">
      <c r="A31" s="3326"/>
      <c r="B31" s="3330"/>
      <c r="C31" s="1157" t="s">
        <v>836</v>
      </c>
    </row>
    <row r="32" spans="1:3" ht="14.25">
      <c r="A32" s="3326"/>
      <c r="B32" s="3330"/>
      <c r="C32" s="1157" t="s">
        <v>1637</v>
      </c>
    </row>
    <row r="33" spans="1:3" ht="14.25">
      <c r="A33" s="3326"/>
      <c r="B33" s="3320" t="s">
        <v>1643</v>
      </c>
      <c r="C33" s="1157" t="s">
        <v>1638</v>
      </c>
    </row>
    <row r="34" spans="1:3" ht="14.25">
      <c r="A34" s="3326"/>
      <c r="B34" s="3321"/>
      <c r="C34" s="1162" t="s">
        <v>1639</v>
      </c>
    </row>
    <row r="35" spans="1:3" ht="14.25">
      <c r="A35" s="3326"/>
      <c r="B35" s="3321"/>
      <c r="C35" s="1163" t="s">
        <v>1640</v>
      </c>
    </row>
    <row r="36" spans="1:3" ht="14.25">
      <c r="A36" s="3326"/>
      <c r="B36" s="3321"/>
      <c r="C36" s="1163" t="s">
        <v>1641</v>
      </c>
    </row>
    <row r="37" spans="1:3" ht="14.25">
      <c r="A37" s="3326"/>
      <c r="B37" s="3322"/>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44295</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2934</v>
      </c>
      <c r="B12" s="3026">
        <f ca="1">IF(C12&lt;B2,"已过期",1120040230)</f>
        <v>1120040230</v>
      </c>
      <c r="C12" s="3029">
        <v>44864</v>
      </c>
      <c r="D12" s="3037" t="s">
        <v>2935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2949</v>
      </c>
      <c r="B15" s="3026">
        <f ca="1">IF(C14&lt;B2,"已过期",1119980106)</f>
        <v>1119980106</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34" t="s">
        <v>1915</v>
      </c>
      <c r="B17" s="3335"/>
      <c r="C17" s="3335"/>
      <c r="D17" s="3335"/>
      <c r="E17" s="3335"/>
      <c r="F17" s="3335"/>
      <c r="G17" s="3030"/>
    </row>
    <row r="18" spans="1:7" ht="20.25" customHeight="1">
      <c r="A18" s="3331" t="s">
        <v>1916</v>
      </c>
      <c r="B18" s="3331"/>
      <c r="C18" s="3332"/>
      <c r="D18" s="3333" t="s">
        <v>1917</v>
      </c>
      <c r="E18" s="3331"/>
      <c r="F18" s="3331"/>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2948</v>
      </c>
      <c r="F21" s="3034">
        <v>44012</v>
      </c>
      <c r="G21" s="3022"/>
    </row>
    <row r="22" spans="1:7" ht="20.25" customHeight="1">
      <c r="A22" s="3021"/>
      <c r="B22" s="3021"/>
      <c r="C22" s="3035"/>
      <c r="D22" s="3043"/>
      <c r="E22" s="3044"/>
      <c r="F22" s="3036" t="s">
        <v>2962</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89"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8" t="s">
        <v>2910</v>
      </c>
      <c r="C18" s="1490"/>
    </row>
    <row r="19" spans="1:3">
      <c r="A19" s="8" t="s">
        <v>120</v>
      </c>
      <c r="B19" s="2788" t="s">
        <v>2917</v>
      </c>
      <c r="C19" s="1490"/>
    </row>
    <row r="20" spans="1:3">
      <c r="A20" s="8" t="s">
        <v>121</v>
      </c>
      <c r="B20" s="2788" t="s">
        <v>2963</v>
      </c>
      <c r="C20" s="1490"/>
    </row>
    <row r="21" spans="1:3">
      <c r="A21" s="8" t="s">
        <v>122</v>
      </c>
      <c r="B21" s="8" t="s">
        <v>3140</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黔南布衣苗族自治州龙里县龙山镇比孟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36"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c r="D53" s="1683"/>
      <c r="E53" s="1683"/>
    </row>
    <row r="54" spans="1:5">
      <c r="A54" s="3336"/>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36"/>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36"/>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36"/>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vt:lpstr>
      <vt:lpstr>酒店收入计算</vt:lpstr>
      <vt:lpstr>成本逼近法</vt:lpstr>
      <vt:lpstr>不动产比较法-高层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商业案例位置</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2021-04-09T05:31:17Z</dcterms:modified>
</cp:coreProperties>
</file>