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上海询价\结果\"/>
    </mc:Choice>
  </mc:AlternateContent>
  <bookViews>
    <workbookView xWindow="480" yWindow="210" windowWidth="12120" windowHeight="7620" tabRatio="875" firstSheet="10"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_xlnm.Print_Area" localSheetId="11">'数据-基础表'!$A$1:$I$14</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G40" i="39" l="1"/>
  <c r="E40" i="39"/>
  <c r="C40" i="39"/>
  <c r="I40" i="39"/>
  <c r="I13" i="39"/>
  <c r="G13" i="39"/>
  <c r="E13" i="39"/>
  <c r="C13" i="39"/>
  <c r="C10" i="12"/>
  <c r="E73" i="39"/>
  <c r="F73" i="39"/>
  <c r="G73" i="39"/>
  <c r="H73" i="39"/>
  <c r="I73" i="39" s="1"/>
  <c r="J73" i="39" s="1"/>
  <c r="K73" i="39" s="1"/>
  <c r="L73" i="39" s="1"/>
  <c r="M73" i="39" s="1"/>
  <c r="N73" i="39" s="1"/>
  <c r="D73" i="39"/>
  <c r="I9" i="39"/>
  <c r="G9" i="39"/>
  <c r="E9" i="39"/>
  <c r="I48" i="39"/>
  <c r="G48" i="39"/>
  <c r="E48" i="39"/>
  <c r="K3" i="69"/>
  <c r="K4" i="69"/>
  <c r="K5" i="69"/>
  <c r="K6" i="69"/>
  <c r="K7" i="69"/>
  <c r="K8" i="69"/>
  <c r="K9" i="69"/>
  <c r="K10" i="69"/>
  <c r="K11" i="69"/>
  <c r="K12" i="69"/>
  <c r="K13" i="69"/>
  <c r="K14" i="69"/>
  <c r="K15" i="69"/>
  <c r="K16" i="69"/>
  <c r="K17" i="69"/>
  <c r="K18" i="69"/>
  <c r="K19" i="69"/>
  <c r="K20" i="69"/>
  <c r="K21" i="69"/>
  <c r="K22" i="69"/>
  <c r="K23" i="69"/>
  <c r="K24" i="69"/>
  <c r="K25" i="69"/>
  <c r="K26" i="69"/>
  <c r="K27" i="69"/>
  <c r="K28" i="69"/>
  <c r="K29" i="69"/>
  <c r="K30" i="69"/>
  <c r="K31" i="69"/>
  <c r="K32" i="69"/>
  <c r="K33" i="69"/>
  <c r="K34" i="69"/>
  <c r="K35" i="69"/>
  <c r="K36" i="69"/>
  <c r="K37" i="69"/>
  <c r="K38" i="69"/>
  <c r="K39" i="69"/>
  <c r="K40" i="69"/>
  <c r="K41" i="69"/>
  <c r="K42" i="69"/>
  <c r="K43" i="69"/>
  <c r="K44" i="69"/>
  <c r="K45" i="69"/>
  <c r="K2" i="69"/>
  <c r="F19" i="6" l="1"/>
  <c r="I13" i="3"/>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37" i="68"/>
  <c r="F40" i="68"/>
  <c r="M28" i="68"/>
  <c r="M22" i="68"/>
  <c r="C76" i="68"/>
  <c r="J15" i="68"/>
  <c r="F8" i="68"/>
  <c r="F36" i="68"/>
  <c r="M26" i="68"/>
  <c r="F6" i="68"/>
  <c r="F26" i="68"/>
  <c r="M23" i="68"/>
  <c r="M24" i="68"/>
  <c r="F13" i="68"/>
  <c r="F42" i="68"/>
  <c r="F38" i="68"/>
  <c r="M8" i="68"/>
  <c r="F9" i="68"/>
  <c r="M9" i="68"/>
  <c r="F1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3" i="67"/>
  <c r="F11" i="67"/>
  <c r="F12" i="67"/>
  <c r="F9" i="67"/>
  <c r="B12" i="67"/>
  <c r="E13" i="67"/>
  <c r="B8" i="67"/>
  <c r="F14" i="67"/>
  <c r="E8" i="67"/>
  <c r="B9" i="67"/>
  <c r="F10" i="67"/>
  <c r="B14" i="67"/>
  <c r="B11" i="67"/>
  <c r="F13" i="67"/>
  <c r="E14" i="67"/>
  <c r="E11" i="67"/>
  <c r="E12" i="67"/>
  <c r="E10" i="67"/>
  <c r="B10" i="67"/>
  <c r="E9" i="67"/>
  <c r="F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3" i="65"/>
  <c r="N6" i="65"/>
  <c r="I3" i="65"/>
  <c r="N4" i="65"/>
  <c r="C4" i="65" l="1"/>
  <c r="B39" i="1" s="1"/>
  <c r="I4" i="65"/>
  <c r="J7" i="65"/>
  <c r="J3" i="65"/>
  <c r="J5" i="65"/>
  <c r="I6" i="65"/>
  <c r="I7" i="65"/>
  <c r="I5" i="65"/>
  <c r="J6" i="65"/>
  <c r="J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P14" i="59"/>
  <c r="O14" i="59"/>
  <c r="N14" i="59"/>
  <c r="D14" i="59"/>
  <c r="Q13" i="59"/>
  <c r="P13" i="59"/>
  <c r="AA13" i="59" s="1"/>
  <c r="O13" i="59"/>
  <c r="N13" i="59"/>
  <c r="X13" i="59" s="1"/>
  <c r="Q12" i="59"/>
  <c r="P12" i="59"/>
  <c r="AA12" i="59" s="1"/>
  <c r="O12" i="59"/>
  <c r="N12" i="59"/>
  <c r="X12" i="59" s="1"/>
  <c r="Q11" i="59"/>
  <c r="P11" i="59"/>
  <c r="AA11" i="59" s="1"/>
  <c r="O11" i="59"/>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Y11" i="59"/>
  <c r="Z11" i="59" s="1"/>
  <c r="AB11" i="59"/>
  <c r="Y12" i="59"/>
  <c r="Z12" i="59" s="1"/>
  <c r="AB12" i="59"/>
  <c r="Y13" i="59"/>
  <c r="Z13" i="59" s="1"/>
  <c r="AB13" i="59"/>
  <c r="B15" i="59"/>
  <c r="B16" i="59" s="1"/>
  <c r="B17" i="59" s="1"/>
  <c r="S17" i="59" s="1"/>
  <c r="X14" i="59"/>
  <c r="E15" i="59"/>
  <c r="E16" i="59" s="1"/>
  <c r="E17" i="59" s="1"/>
  <c r="U17" i="59" s="1"/>
  <c r="AA14" i="59"/>
  <c r="X15" i="59"/>
  <c r="AA15" i="59"/>
  <c r="X16" i="59"/>
  <c r="AA16" i="59"/>
  <c r="X17" i="59"/>
  <c r="AA17"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42" i="21"/>
  <c r="W31" i="34"/>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AC12"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s="1"/>
  <c r="BL185" i="3"/>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185"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F13" i="39"/>
  <c r="S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AB14" i="37"/>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27" i="43"/>
  <c r="F71" i="9"/>
  <c r="AC14" i="40"/>
  <c r="S33" i="40"/>
  <c r="AC47" i="39"/>
  <c r="S47" i="39"/>
  <c r="U37" i="34"/>
  <c r="AB37" i="34"/>
  <c r="AC41" i="40"/>
  <c r="W41" i="40"/>
  <c r="U41" i="40"/>
  <c r="J23" i="40"/>
  <c r="AC23" i="40" s="1"/>
  <c r="F23" i="40"/>
  <c r="S23" i="40" s="1"/>
  <c r="AC15" i="40"/>
  <c r="W15" i="40"/>
  <c r="AB16"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L47" i="68"/>
  <c r="AB25" i="39" l="1"/>
  <c r="F91" i="39"/>
  <c r="G91" i="39" s="1"/>
  <c r="F17" i="39"/>
  <c r="AA17" i="39" s="1"/>
  <c r="J17" i="39"/>
  <c r="W17" i="39" s="1"/>
  <c r="H17" i="39"/>
  <c r="U17" i="39" s="1"/>
  <c r="AA13" i="39"/>
  <c r="J13" i="39"/>
  <c r="AC13" i="39" s="1"/>
  <c r="H13" i="39"/>
  <c r="AB13" i="39" s="1"/>
  <c r="S40" i="39"/>
  <c r="AB29" i="39"/>
  <c r="S23" i="39"/>
  <c r="W27" i="39"/>
  <c r="S17" i="39"/>
  <c r="F72" i="9"/>
  <c r="F66" i="9"/>
  <c r="P72" i="9" s="1"/>
  <c r="U13" i="39"/>
  <c r="G12" i="1"/>
  <c r="L59" i="68"/>
  <c r="N59" i="68"/>
  <c r="M59" i="68"/>
  <c r="AZ484" i="3"/>
  <c r="S9" i="21"/>
  <c r="AA9" i="21"/>
  <c r="AC9" i="34"/>
  <c r="W9" i="34"/>
  <c r="AC24" i="35"/>
  <c r="W24" i="35"/>
  <c r="W24" i="36"/>
  <c r="AC24" i="36"/>
  <c r="AZ564" i="3"/>
  <c r="S12" i="21"/>
  <c r="AA12" i="21"/>
  <c r="AA31" i="33"/>
  <c r="S31" i="33"/>
  <c r="AC23" i="35"/>
  <c r="W23" i="35"/>
  <c r="AC12" i="36"/>
  <c r="W12" i="36"/>
  <c r="AB34" i="36"/>
  <c r="U34" i="36"/>
  <c r="AB32" i="40"/>
  <c r="W35" i="40"/>
  <c r="AB14" i="40"/>
  <c r="U31" i="37"/>
  <c r="S46" i="33"/>
  <c r="J26" i="37"/>
  <c r="F26" i="37"/>
  <c r="AA26" i="37" s="1"/>
  <c r="H5" i="3"/>
  <c r="F9" i="34"/>
  <c r="AA9" i="34" s="1"/>
  <c r="J9" i="35"/>
  <c r="W9" i="35" s="1"/>
  <c r="F34" i="35"/>
  <c r="H24" i="36"/>
  <c r="H26" i="37"/>
  <c r="AB26" i="37" s="1"/>
  <c r="G569" i="3"/>
  <c r="G564" i="3"/>
  <c r="G535" i="3"/>
  <c r="G528" i="3"/>
  <c r="G520" i="3"/>
  <c r="G511" i="3"/>
  <c r="G500" i="3"/>
  <c r="G490" i="3"/>
  <c r="G482" i="3"/>
  <c r="AZ392" i="3"/>
  <c r="AZ397" i="3"/>
  <c r="AZ406" i="3"/>
  <c r="AZ409" i="3"/>
  <c r="AZ412" i="3"/>
  <c r="AZ419" i="3"/>
  <c r="AZ425" i="3"/>
  <c r="AZ429" i="3"/>
  <c r="G15" i="3"/>
  <c r="G14" i="3"/>
  <c r="C18" i="9"/>
  <c r="A30" i="64"/>
  <c r="A30" i="51"/>
  <c r="AZ445" i="3"/>
  <c r="AZ448" i="3"/>
  <c r="AZ468" i="3"/>
  <c r="AZ472" i="3"/>
  <c r="AZ206" i="3"/>
  <c r="AZ210" i="3"/>
  <c r="AZ222" i="3"/>
  <c r="AZ226" i="3"/>
  <c r="AZ238" i="3"/>
  <c r="AZ242" i="3"/>
  <c r="AZ254" i="3"/>
  <c r="AZ258" i="3"/>
  <c r="AZ269" i="3"/>
  <c r="AZ272" i="3"/>
  <c r="AZ285" i="3"/>
  <c r="AZ288" i="3"/>
  <c r="AZ296" i="3"/>
  <c r="AZ125" i="3"/>
  <c r="AZ128" i="3"/>
  <c r="AZ141" i="3"/>
  <c r="AZ144" i="3"/>
  <c r="AZ34" i="3"/>
  <c r="AZ37" i="3"/>
  <c r="AZ53" i="3"/>
  <c r="AZ60" i="3"/>
  <c r="AZ148" i="3"/>
  <c r="AZ30" i="3"/>
  <c r="AZ41" i="3"/>
  <c r="AZ46" i="3"/>
  <c r="AZ65" i="3"/>
  <c r="AZ68" i="3"/>
  <c r="BA21" i="3"/>
  <c r="AZ21" i="3" s="1"/>
  <c r="AZ69" i="3"/>
  <c r="AZ80" i="3"/>
  <c r="AZ89" i="3"/>
  <c r="AZ100" i="3"/>
  <c r="AZ105" i="3"/>
  <c r="I21" i="57"/>
  <c r="D1" i="57"/>
  <c r="E10" i="57" s="1"/>
  <c r="F6" i="1"/>
  <c r="G11" i="1"/>
  <c r="M22" i="44"/>
  <c r="F32" i="15"/>
  <c r="F59" i="15" s="1"/>
  <c r="F29" i="12"/>
  <c r="C29" i="12" s="1"/>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C24" i="12"/>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6" i="15"/>
  <c r="F26" i="15"/>
  <c r="F42" i="15"/>
  <c r="F9" i="15"/>
  <c r="M25" i="44"/>
  <c r="L48" i="15"/>
  <c r="F43" i="44"/>
  <c r="F6" i="15"/>
  <c r="F10" i="44"/>
  <c r="M8" i="15"/>
  <c r="F13" i="15"/>
  <c r="F37" i="15"/>
  <c r="F40" i="44"/>
  <c r="F31" i="68"/>
  <c r="F11" i="44"/>
  <c r="F8" i="15"/>
  <c r="M10" i="44"/>
  <c r="M8" i="44"/>
  <c r="M31" i="44"/>
  <c r="L48" i="44"/>
  <c r="F9" i="44"/>
  <c r="M28" i="44"/>
  <c r="F43" i="68"/>
  <c r="M22" i="15"/>
  <c r="F43" i="15"/>
  <c r="F28" i="44"/>
  <c r="M28" i="15"/>
  <c r="F16" i="15"/>
  <c r="M29" i="68"/>
  <c r="F18" i="44"/>
  <c r="M24" i="15"/>
  <c r="L49" i="44"/>
  <c r="J17" i="44"/>
  <c r="L47" i="15"/>
  <c r="F38" i="15"/>
  <c r="F7" i="68"/>
  <c r="M26" i="44"/>
  <c r="F40" i="15"/>
  <c r="F45" i="44"/>
  <c r="M24" i="44"/>
  <c r="F15" i="44"/>
  <c r="M30" i="44"/>
  <c r="F7" i="15"/>
  <c r="F8" i="44"/>
  <c r="F38" i="44"/>
  <c r="M23" i="15"/>
  <c r="F39" i="44"/>
  <c r="M26" i="15"/>
  <c r="L48" i="68"/>
  <c r="M29" i="15"/>
  <c r="M11" i="44"/>
  <c r="M9" i="15"/>
  <c r="M6" i="15"/>
  <c r="J15" i="15"/>
  <c r="J36" i="15"/>
  <c r="AC17" i="39" l="1"/>
  <c r="AB17" i="39"/>
  <c r="W13" i="39"/>
  <c r="AB11" i="46"/>
  <c r="AB13" i="46" s="1"/>
  <c r="F71" i="68"/>
  <c r="F50" i="68"/>
  <c r="M7" i="68"/>
  <c r="C6" i="68"/>
  <c r="C5" i="68" s="1"/>
  <c r="L56" i="68"/>
  <c r="I54" i="68"/>
  <c r="J57" i="68"/>
  <c r="J55" i="68" s="1"/>
  <c r="J58" i="68" s="1"/>
  <c r="Q50" i="68" s="1"/>
  <c r="L58" i="68"/>
  <c r="M6" i="1"/>
  <c r="C15" i="43" s="1"/>
  <c r="H69" i="46"/>
  <c r="H77" i="46"/>
  <c r="C7" i="46"/>
  <c r="AC23" i="21"/>
  <c r="AB24" i="36"/>
  <c r="U24" i="36"/>
  <c r="AC26" i="37"/>
  <c r="W26" i="37"/>
  <c r="AP6" i="1"/>
  <c r="AA34" i="35"/>
  <c r="S34" i="35"/>
  <c r="Q74" i="68"/>
  <c r="Q61" i="68"/>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M19" i="44"/>
  <c r="M17" i="15"/>
  <c r="F31" i="15"/>
  <c r="F33" i="44"/>
  <c r="F58" i="15"/>
  <c r="C16" i="15"/>
  <c r="F41" i="15"/>
  <c r="F59" i="68"/>
  <c r="C18" i="44"/>
  <c r="C16" i="68"/>
  <c r="F46" i="44"/>
  <c r="F41" i="68"/>
  <c r="M17" i="68"/>
  <c r="F107" i="46" l="1"/>
  <c r="K105" i="46"/>
  <c r="C105" i="46"/>
  <c r="O6" i="1"/>
  <c r="P6" i="1" s="1"/>
  <c r="K104" i="46"/>
  <c r="J109" i="46"/>
  <c r="J105" i="46"/>
  <c r="K107" i="46"/>
  <c r="F103" i="46"/>
  <c r="F106" i="46"/>
  <c r="C107" i="46"/>
  <c r="C104" i="46"/>
  <c r="J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M27" i="15"/>
  <c r="D21" i="12"/>
  <c r="F7" i="67"/>
  <c r="F33" i="12"/>
  <c r="M29" i="44"/>
  <c r="M27" i="68"/>
  <c r="C15" i="12"/>
  <c r="L52" i="44"/>
  <c r="C34" i="12" l="1"/>
  <c r="C21" i="12"/>
  <c r="AB12" i="39"/>
  <c r="S5" i="46"/>
  <c r="T5" i="46" s="1"/>
  <c r="V5" i="46" s="1"/>
  <c r="S2" i="46"/>
  <c r="T2" i="46" s="1"/>
  <c r="V2" i="46" s="1"/>
  <c r="S3" i="46"/>
  <c r="T3" i="46" s="1"/>
  <c r="V3" i="46" s="1"/>
  <c r="S6" i="46"/>
  <c r="T6" i="46" s="1"/>
  <c r="V6" i="46" s="1"/>
  <c r="S7" i="46"/>
  <c r="T7" i="46" s="1"/>
  <c r="V7" i="46" s="1"/>
  <c r="S4" i="46"/>
  <c r="T4" i="46" s="1"/>
  <c r="V4" i="46" s="1"/>
  <c r="C60" i="68"/>
  <c r="C66" i="68"/>
  <c r="J26" i="68"/>
  <c r="J29" i="68" s="1"/>
  <c r="J18" i="68"/>
  <c r="J24"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68"/>
  <c r="E7" i="67"/>
  <c r="C19" i="44"/>
  <c r="C17" i="15"/>
  <c r="C14" i="68"/>
  <c r="C15" i="68" l="1"/>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C19" i="68" l="1"/>
  <c r="C20" i="68"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3" i="12"/>
  <c r="D22" i="12"/>
  <c r="C14" i="15"/>
  <c r="C22" i="12" l="1"/>
  <c r="C20" i="12" s="1"/>
  <c r="C26" i="68"/>
  <c r="C23"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M21" i="15"/>
  <c r="F37" i="44"/>
  <c r="M23" i="44"/>
  <c r="F35" i="68"/>
  <c r="F35" i="15"/>
  <c r="C29" i="68" l="1"/>
  <c r="J14" i="68" s="1"/>
  <c r="J20" i="68"/>
  <c r="C34" i="68"/>
  <c r="F63" i="68"/>
  <c r="C62" i="68" s="1"/>
  <c r="C57" i="68"/>
  <c r="J59" i="68"/>
  <c r="J60"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Q49" i="68" l="1"/>
  <c r="J19" i="68"/>
  <c r="C33" i="68"/>
  <c r="C31" i="68" s="1"/>
  <c r="C36" i="68"/>
  <c r="C13" i="68"/>
  <c r="C37" i="68" s="1"/>
  <c r="J17" i="68"/>
  <c r="C75" i="68"/>
  <c r="C61" i="68"/>
  <c r="C59" i="68" s="1"/>
  <c r="C64" i="68"/>
  <c r="Q48" i="68"/>
  <c r="J22" i="68"/>
  <c r="J13" i="68"/>
  <c r="J23" i="68" s="1"/>
  <c r="C28" i="44"/>
  <c r="C31" i="44" s="1"/>
  <c r="C35" i="44" s="1"/>
  <c r="I5" i="6"/>
  <c r="C26" i="15"/>
  <c r="C29" i="15" s="1"/>
  <c r="J59" i="15" s="1"/>
  <c r="J60" i="15" s="1"/>
  <c r="Q49" i="15" s="1"/>
  <c r="C23" i="12"/>
  <c r="C35" i="12" s="1"/>
  <c r="C33" i="12" s="1"/>
  <c r="C19" i="43"/>
  <c r="C22" i="43" s="1"/>
  <c r="C21" i="43" s="1"/>
  <c r="K67" i="40"/>
  <c r="L65" i="40"/>
  <c r="K72" i="39"/>
  <c r="L70" i="39"/>
  <c r="C30" i="68" l="1"/>
  <c r="C39" i="68" s="1"/>
  <c r="C40" i="68" s="1"/>
  <c r="C56" i="68"/>
  <c r="C65" i="68" s="1"/>
  <c r="C58" i="68" s="1"/>
  <c r="C67" i="68" s="1"/>
  <c r="C68" i="68" s="1"/>
  <c r="Q70" i="68"/>
  <c r="J16" i="68"/>
  <c r="J25" i="68" s="1"/>
  <c r="Q69" i="68"/>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L51" i="68"/>
  <c r="Q68" i="68" l="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Q66" i="68" l="1"/>
  <c r="Q57" i="68"/>
  <c r="Q62" i="68" s="1"/>
  <c r="B3" i="68"/>
  <c r="B2" i="68"/>
  <c r="Q75" i="68"/>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B4" i="12"/>
  <c r="B5" i="12"/>
  <c r="B3" i="12"/>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C19" i="9"/>
  <c r="L44" i="9" l="1"/>
  <c r="L43" i="9"/>
  <c r="D22" i="9"/>
  <c r="G19" i="9"/>
  <c r="C32" i="9" s="1"/>
  <c r="B3" i="40"/>
  <c r="B4" i="40"/>
  <c r="B5" i="40"/>
  <c r="B3" i="39"/>
  <c r="B4" i="39"/>
  <c r="B5" i="39"/>
  <c r="D21" i="9"/>
  <c r="C21" i="9"/>
  <c r="D20"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<sst xmlns="http://schemas.openxmlformats.org/spreadsheetml/2006/main" count="7521" uniqueCount="3340">
  <si>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</si>
  <si>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</si>
  <si>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</si>
  <si>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</si>
  <si>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</si>
  <si>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</si>
  <si>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</si>
  <si>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</si>
  <si>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</si>
  <si>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</si>
  <si>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</si>
  <si>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</si>
  <si>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</si>
  <si>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</si>
  <si>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</si>
  <si>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</si>
  <si>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</si>
  <si>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</si>
  <si>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</si>
  <si>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</si>
  <si>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</si>
  <si>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</si>
  <si>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</si>
  <si>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</si>
  <si>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</si>
  <si>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</si>
  <si>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</si>
  <si>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</si>
  <si>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</si>
  <si>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</si>
  <si>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</si>
  <si>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</si>
  <si>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</si>
  <si>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</si>
  <si>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</si>
  <si>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</si>
  <si>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</si>
  <si>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</si>
  <si>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</si>
  <si>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</si>
  <si>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</si>
  <si>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</si>
  <si>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</si>
  <si>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</si>
  <si>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</si>
  <si>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</si>
  <si>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</si>
  <si>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</si>
  <si>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</si>
  <si>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</si>
  <si>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</si>
  <si>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</si>
  <si>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</si>
  <si>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</si>
  <si>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</si>
  <si>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</si>
  <si>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</si>
  <si>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</si>
  <si>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</si>
  <si>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</si>
  <si>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</si>
  <si>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</si>
  <si>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</si>
  <si>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</si>
  <si>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</si>
  <si>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</si>
  <si>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</si>
  <si>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</si>
  <si>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</si>
  <si>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</si>
  <si>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</si>
  <si>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</si>
  <si>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</si>
  <si>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</si>
  <si>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</si>
  <si>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</si>
  <si>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</si>
  <si>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</si>
  <si>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</si>
  <si>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</si>
  <si>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</si>
  <si>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</si>
  <si>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</si>
  <si>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</si>
  <si>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</si>
  <si>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</si>
  <si>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</si>
  <si>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</si>
  <si>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</si>
  <si>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</si>
  <si>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</si>
  <si>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</si>
  <si>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</si>
  <si>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</si>
  <si>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</si>
  <si>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</si>
  <si>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</si>
  <si>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</si>
  <si>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</si>
  <si>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</si>
  <si>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</si>
  <si>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</si>
  <si>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</si>
  <si>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</si>
  <si>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</si>
  <si>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</si>
  <si>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</si>
  <si>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</si>
  <si>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</si>
  <si>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</si>
  <si>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</si>
  <si>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</si>
  <si>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</si>
  <si>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</si>
  <si>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</si>
  <si>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</si>
  <si>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</si>
  <si>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</si>
  <si>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</si>
  <si>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</si>
  <si>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</si>
  <si>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</si>
  <si>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</si>
  <si>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</si>
  <si>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</si>
  <si>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</si>
  <si>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</si>
  <si>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</si>
  <si>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</si>
  <si>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</si>
  <si>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</si>
  <si>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</si>
  <si>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</si>
  <si>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</si>
  <si>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</si>
  <si>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</si>
  <si>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</si>
  <si>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</si>
  <si>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</si>
  <si>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</si>
  <si>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</si>
  <si>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</si>
  <si>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</si>
  <si>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</si>
  <si>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</si>
  <si>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</si>
  <si>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</si>
  <si>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</si>
  <si>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</si>
  <si>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</si>
  <si>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</si>
  <si>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</si>
  <si>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</si>
  <si>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</si>
  <si>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</si>
  <si>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</si>
  <si>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</si>
  <si>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</si>
  <si>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</si>
  <si>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</si>
  <si>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</si>
  <si>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</si>
  <si>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</si>
  <si>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</si>
  <si>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</si>
  <si>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</si>
  <si>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</si>
  <si>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</si>
  <si>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</si>
  <si>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</si>
  <si>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</si>
  <si>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</si>
  <si>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</si>
  <si>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</si>
  <si>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</si>
  <si>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</si>
  <si>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</si>
  <si>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</si>
  <si>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</si>
  <si>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</si>
  <si>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</si>
  <si>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</si>
  <si>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</si>
  <si>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</si>
  <si>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</si>
  <si>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</si>
  <si>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</si>
  <si>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</si>
  <si>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</si>
  <si>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</si>
  <si>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</si>
  <si>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</si>
  <si>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</si>
  <si>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</si>
  <si>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</si>
  <si>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</si>
  <si>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</si>
  <si>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</si>
  <si>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</si>
  <si>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</si>
  <si>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</si>
  <si>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</si>
  <si>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</si>
  <si>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</si>
  <si>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</si>
  <si>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</si>
  <si>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</si>
  <si>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</si>
  <si>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</si>
  <si>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</si>
  <si>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</si>
  <si>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</si>
  <si>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</si>
  <si>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</si>
  <si>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</si>
  <si>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</si>
  <si>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</si>
  <si>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</si>
  <si>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</si>
  <si>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</si>
  <si>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</si>
  <si>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</si>
  <si>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</si>
  <si>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</si>
  <si>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</si>
  <si>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</si>
  <si>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</si>
  <si>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</si>
  <si>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</si>
  <si>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</si>
  <si>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</si>
  <si>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</si>
  <si>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</si>
  <si>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</si>
  <si>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</si>
  <si>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</si>
  <si>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</si>
  <si>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</si>
  <si>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</si>
  <si>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</si>
  <si>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</si>
  <si>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</si>
  <si>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</si>
  <si>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</si>
  <si>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</si>
  <si>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</si>
  <si>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</si>
  <si>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</si>
  <si>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</si>
  <si>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</si>
  <si>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</si>
  <si>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</si>
  <si>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</si>
  <si>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</si>
  <si>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</si>
  <si>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</si>
  <si>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</si>
  <si>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</si>
  <si>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</si>
  <si>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</si>
  <si>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</si>
  <si>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</si>
  <si>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</si>
  <si>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</si>
  <si>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</si>
  <si>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</si>
  <si>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</si>
  <si>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</si>
  <si>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</si>
  <si>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</si>
  <si>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</si>
  <si>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</si>
  <si>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</si>
  <si>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</si>
  <si>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</si>
  <si>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</si>
  <si>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</si>
  <si>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</si>
  <si>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</si>
  <si>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</si>
  <si>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</si>
  <si>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</si>
  <si>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</si>
  <si>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</si>
  <si>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</si>
  <si>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</si>
  <si>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</si>
  <si>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</si>
  <si>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</si>
  <si>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</si>
  <si>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</si>
  <si>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</si>
  <si>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</si>
  <si>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</si>
  <si>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</si>
  <si>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</si>
  <si>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</si>
  <si>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</si>
  <si>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</si>
  <si>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</si>
  <si>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</si>
  <si>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</si>
  <si>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</si>
  <si>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</si>
  <si>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</si>
  <si>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</si>
  <si>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</si>
  <si>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</si>
  <si>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</si>
  <si>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</si>
  <si>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</si>
  <si>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</si>
  <si>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</si>
  <si>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</si>
  <si>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</si>
  <si>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</si>
  <si>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</si>
  <si>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</si>
  <si>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</si>
  <si>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</si>
  <si>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</si>
  <si>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</si>
  <si>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</si>
  <si>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</si>
  <si>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</si>
  <si>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</si>
  <si>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</si>
  <si>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</si>
  <si>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</si>
  <si>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</si>
  <si>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</si>
  <si>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</si>
  <si>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</si>
  <si>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</si>
  <si>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</si>
  <si>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</si>
  <si>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</si>
  <si>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</si>
  <si>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</si>
  <si>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</si>
  <si>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</si>
  <si>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</si>
  <si>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</si>
  <si>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</si>
  <si>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</si>
  <si>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</si>
  <si>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</si>
  <si>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</si>
  <si>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</si>
  <si>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</si>
  <si>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</si>
  <si>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</si>
  <si>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</si>
  <si>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</si>
  <si>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</si>
  <si>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</si>
  <si>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</si>
  <si>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</si>
  <si>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</si>
  <si>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</si>
  <si>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</si>
  <si>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</si>
  <si>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</si>
  <si>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</si>
  <si>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</si>
  <si>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</si>
  <si>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</si>
  <si>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</si>
  <si>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</si>
  <si>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</si>
  <si>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</si>
  <si>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</si>
  <si>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</si>
  <si>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</si>
  <si>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</si>
  <si>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</si>
  <si>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</si>
  <si>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</si>
  <si>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</si>
  <si>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</si>
  <si>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</si>
  <si>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</si>
  <si>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</si>
  <si>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</si>
  <si>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</si>
  <si>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</si>
  <si>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</si>
  <si>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</si>
  <si>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</si>
  <si>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</si>
  <si>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</si>
  <si>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</si>
  <si>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</si>
  <si>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</si>
  <si>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</si>
  <si>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</si>
  <si>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</si>
  <si>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</si>
  <si>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</si>
  <si>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</si>
  <si>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</si>
  <si>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</si>
  <si>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</si>
  <si>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</si>
  <si>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</si>
  <si>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</si>
  <si>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</si>
  <si>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</si>
  <si>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</si>
  <si>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</si>
  <si>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</si>
  <si>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</si>
  <si>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</si>
  <si>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</si>
  <si>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</si>
  <si>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</si>
  <si>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</si>
  <si>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</si>
  <si>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</si>
  <si>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</si>
  <si>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</si>
  <si>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</si>
  <si>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</si>
  <si>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</si>
  <si>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</si>
  <si>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</si>
  <si>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</si>
  <si>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</si>
  <si>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</si>
  <si>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</si>
  <si>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</si>
  <si>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</si>
  <si>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</si>
  <si>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</si>
  <si>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</si>
  <si>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</si>
  <si>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</si>
  <si>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</si>
  <si>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</si>
  <si>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</si>
  <si>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</si>
  <si>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</si>
  <si>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</si>
  <si>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</si>
  <si>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</si>
  <si>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</si>
  <si>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</si>
  <si>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</si>
  <si>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</si>
  <si>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</si>
  <si>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</si>
  <si>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</si>
  <si>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</si>
  <si>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</si>
  <si>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</si>
  <si>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</si>
  <si>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</si>
  <si>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</si>
  <si>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</si>
  <si>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</si>
  <si>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</si>
  <si>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</si>
  <si>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</si>
  <si>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</si>
  <si>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</si>
  <si>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</si>
  <si>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</si>
  <si>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</si>
  <si>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</si>
  <si>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</si>
  <si>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</si>
  <si>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</si>
  <si>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</si>
  <si>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</si>
  <si>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</si>
  <si>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</si>
  <si>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</si>
  <si>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</si>
  <si>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</si>
  <si>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</si>
  <si>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</si>
  <si>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</si>
  <si>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</si>
  <si>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</si>
  <si>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</si>
  <si>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</si>
  <si>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</si>
  <si>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</si>
  <si>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</si>
  <si>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</si>
  <si>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</si>
  <si>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</si>
  <si>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</si>
  <si>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</si>
  <si>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</si>
  <si>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</si>
  <si>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</si>
  <si>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</si>
  <si>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</si>
  <si>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</si>
  <si>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</si>
  <si>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</si>
  <si>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</si>
  <si>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</si>
  <si>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</si>
  <si>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</si>
  <si>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</si>
  <si>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</si>
  <si>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</si>
  <si>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</si>
  <si>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</si>
  <si>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</si>
  <si>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</si>
  <si>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</si>
  <si>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</si>
  <si>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</si>
  <si>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</si>
  <si>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</si>
  <si>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</si>
  <si>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</si>
  <si>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</si>
  <si>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</si>
  <si>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</si>
  <si>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</si>
  <si>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</si>
  <si>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</si>
  <si>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</si>
  <si>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</si>
  <si>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</si>
  <si>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</si>
  <si>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</si>
  <si>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</si>
  <si>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</si>
  <si>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</si>
  <si>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</si>
  <si>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</si>
  <si>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</si>
  <si>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</si>
  <si>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</si>
  <si>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</si>
  <si>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</si>
  <si>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</si>
  <si>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</si>
  <si>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</si>
  <si>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</si>
  <si>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</si>
  <si>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</si>
  <si>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</si>
  <si>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</si>
  <si>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</si>
  <si>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</si>
  <si>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</si>
  <si>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</si>
  <si>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</si>
  <si>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</si>
  <si>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</si>
  <si>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</si>
  <si>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</si>
  <si>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</si>
  <si>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</si>
  <si>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</si>
  <si>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</si>
  <si>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</si>
  <si>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</si>
  <si>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</si>
  <si>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</si>
  <si>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</si>
  <si>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</si>
  <si>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</si>
  <si>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</si>
  <si>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</si>
  <si>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</si>
  <si>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</si>
  <si>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</si>
  <si>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</si>
  <si>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</si>
  <si>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</si>
  <si>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</si>
  <si>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</si>
  <si>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</si>
  <si>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</si>
  <si>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</si>
  <si>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</si>
  <si>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</si>
  <si>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</si>
  <si>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</si>
  <si>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</si>
  <si>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</si>
  <si>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</si>
  <si>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</si>
  <si>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</si>
  <si>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</si>
  <si>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</si>
  <si>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</si>
  <si>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</si>
  <si>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</si>
  <si>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</si>
  <si>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</si>
  <si>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</si>
  <si>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</si>
  <si>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</si>
  <si>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</si>
  <si>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</si>
  <si>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</si>
  <si>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</si>
  <si>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</si>
  <si>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</si>
  <si>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</si>
  <si>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</si>
  <si>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</si>
  <si>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</si>
  <si>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</si>
  <si>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</si>
  <si>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</si>
  <si>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</si>
  <si>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</si>
  <si>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</si>
  <si>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</si>
  <si>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</si>
  <si>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</si>
  <si>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</si>
  <si>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</si>
  <si>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</si>
  <si>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</si>
  <si>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</si>
  <si>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</si>
  <si>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</si>
  <si>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</si>
  <si>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</si>
  <si>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</si>
  <si>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</si>
  <si>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</si>
  <si>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</si>
  <si>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</si>
  <si>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</si>
  <si>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</si>
  <si>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</si>
  <si>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</si>
  <si>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</si>
  <si>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</si>
  <si>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</si>
  <si>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</si>
  <si>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</si>
  <si>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</si>
  <si>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</si>
  <si>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</si>
  <si>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</si>
  <si>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</si>
  <si>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</si>
  <si>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</si>
  <si>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</si>
  <si>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</si>
  <si>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</si>
  <si>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</si>
  <si>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</si>
  <si>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</si>
  <si>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</si>
  <si>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</si>
  <si>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</si>
  <si>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</si>
  <si>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</si>
  <si>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</si>
  <si>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</si>
  <si>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</si>
  <si>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</si>
  <si>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</si>
  <si>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</si>
  <si>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</si>
  <si>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</si>
  <si>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</si>
  <si>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</si>
  <si>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</si>
  <si>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</si>
  <si>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</si>
  <si>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</si>
  <si>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</si>
  <si>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</si>
  <si>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</si>
  <si>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</si>
  <si>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</si>
  <si>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</si>
  <si>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</si>
  <si>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</si>
  <si>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</si>
  <si>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</si>
  <si>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</si>
  <si>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</si>
  <si>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</si>
  <si>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</si>
  <si>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</si>
  <si>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</si>
  <si>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</si>
  <si>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</si>
  <si>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</si>
  <si>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</si>
  <si>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</si>
  <si>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</si>
  <si>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</si>
  <si>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</si>
  <si>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</si>
  <si>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</si>
  <si>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</si>
  <si>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</si>
  <si>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</si>
  <si>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</si>
  <si>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</si>
  <si>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</si>
  <si>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</si>
  <si>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</si>
  <si>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</si>
  <si>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</si>
  <si>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</si>
  <si>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</si>
  <si>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</si>
  <si>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</si>
  <si>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</si>
  <si>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</si>
  <si>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</si>
  <si>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</si>
  <si>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</si>
  <si>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</si>
  <si>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</si>
  <si>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</si>
  <si>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</si>
  <si>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</si>
  <si>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</si>
  <si>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</si>
  <si>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</si>
  <si>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</si>
  <si>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</si>
  <si>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</si>
  <si>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</si>
  <si>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</si>
  <si>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</si>
  <si>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</si>
  <si>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</si>
  <si>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</si>
  <si>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</si>
  <si>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</si>
  <si>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</si>
  <si>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</si>
  <si>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</si>
  <si>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</si>
  <si>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</si>
  <si>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</si>
  <si>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</si>
  <si>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</si>
  <si>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</si>
  <si>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</si>
  <si>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</si>
  <si>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</si>
  <si>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</si>
  <si>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</si>
  <si>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</si>
  <si>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</si>
  <si>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</si>
  <si>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</si>
  <si>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</si>
  <si>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</si>
  <si>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</si>
  <si>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</si>
  <si>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</si>
  <si>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</si>
  <si>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</si>
  <si>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</si>
  <si>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</si>
  <si>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</si>
  <si>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</si>
  <si>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</si>
  <si>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</si>
  <si>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</si>
  <si>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</si>
  <si>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</si>
  <si>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</si>
  <si>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</si>
  <si>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</si>
  <si>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</si>
  <si>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</si>
  <si>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</si>
  <si>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</si>
  <si>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</si>
  <si>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</si>
  <si>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</si>
  <si>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</si>
  <si>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</si>
  <si>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</si>
  <si>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</si>
  <si>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</si>
  <si>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</si>
  <si>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</si>
  <si>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</si>
  <si>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</si>
  <si>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</si>
  <si>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</si>
  <si>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</si>
  <si>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</si>
  <si>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</si>
  <si>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</si>
  <si>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</si>
  <si>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</si>
  <si>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</si>
  <si>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</si>
  <si>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</si>
  <si>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</si>
  <si>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</si>
  <si>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</si>
  <si>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</si>
  <si>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</si>
  <si>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</si>
  <si>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</si>
  <si>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</si>
  <si>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</si>
  <si>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</si>
  <si>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</si>
  <si>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</si>
  <si>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</si>
  <si>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</si>
  <si>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</si>
  <si>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</si>
  <si>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</si>
  <si>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</si>
  <si>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</si>
  <si>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</si>
  <si>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</si>
  <si>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</si>
  <si>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</si>
  <si>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</si>
  <si>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</si>
  <si>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</si>
  <si>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</si>
  <si>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</si>
  <si>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</si>
  <si>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</si>
  <si>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</si>
  <si>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</si>
  <si>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</si>
  <si>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</si>
  <si>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</si>
  <si>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</si>
  <si>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</si>
  <si>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</si>
  <si>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</si>
  <si>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</si>
  <si>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</si>
  <si>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</si>
  <si>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</si>
  <si>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</si>
  <si>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</si>
  <si>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</si>
  <si>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</si>
  <si>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</si>
  <si>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</si>
  <si>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</si>
  <si>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</si>
  <si>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</si>
  <si>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</si>
  <si>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</si>
  <si>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</si>
  <si>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</si>
  <si>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</si>
  <si>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</si>
  <si>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</si>
  <si>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</si>
  <si>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</si>
  <si>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</si>
  <si>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</si>
  <si>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</si>
  <si>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</si>
  <si>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</si>
  <si>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</si>
  <si>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</si>
  <si>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</si>
  <si>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</si>
  <si>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</si>
  <si>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</si>
  <si>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</si>
  <si>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</si>
  <si>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</si>
  <si>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</si>
  <si>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</si>
  <si>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</si>
  <si>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</si>
  <si>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</si>
  <si>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</si>
  <si>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</si>
  <si>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</si>
  <si>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</si>
  <si>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</si>
  <si>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</si>
  <si>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</si>
  <si>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</si>
  <si>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</si>
  <si>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</si>
  <si>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</si>
  <si>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</si>
  <si>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</si>
  <si>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</si>
  <si>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</si>
  <si>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</si>
  <si>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</si>
  <si>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</si>
  <si>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</si>
  <si>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</si>
  <si>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</si>
  <si>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</si>
  <si>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</si>
  <si>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</si>
  <si>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</si>
  <si>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</si>
  <si>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</si>
  <si>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</si>
  <si>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</si>
  <si>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</si>
  <si>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</si>
  <si>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</si>
  <si>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</si>
  <si>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</si>
  <si>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</si>
  <si>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</si>
  <si>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</si>
  <si>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</si>
  <si>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</si>
  <si>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</si>
  <si>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</si>
  <si>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</si>
  <si>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</si>
  <si>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</si>
  <si>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</si>
  <si>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</si>
  <si>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</si>
  <si>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</si>
  <si>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</si>
  <si>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</si>
  <si>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</si>
  <si>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</si>
  <si>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</si>
  <si>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</si>
  <si>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</si>
  <si>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</si>
  <si>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</si>
  <si>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</si>
  <si>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</si>
  <si>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</si>
  <si>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</si>
  <si>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</si>
  <si>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</si>
  <si>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</si>
  <si>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</si>
  <si>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</si>
  <si>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</si>
  <si>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</si>
  <si>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</si>
  <si>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</si>
  <si>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</si>
  <si>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</si>
  <si>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</si>
  <si>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</si>
  <si>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</si>
  <si>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</si>
  <si>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</si>
  <si>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</si>
  <si>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</si>
  <si>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</si>
  <si>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</si>
  <si>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</si>
  <si>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</si>
  <si>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</si>
  <si>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</si>
  <si>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</si>
  <si>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</si>
  <si>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</si>
  <si>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</si>
  <si>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</si>
  <si>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</si>
  <si>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</si>
  <si>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</si>
  <si>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</si>
  <si>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</si>
  <si>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</si>
  <si>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</si>
  <si>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</si>
  <si>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</si>
  <si>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</si>
  <si>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</si>
  <si>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</si>
  <si>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</si>
  <si>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</si>
  <si>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</si>
  <si>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</si>
  <si>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</si>
  <si>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</si>
  <si>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</si>
  <si>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</si>
  <si>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</si>
  <si>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</si>
  <si>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</si>
  <si>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</si>
  <si>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</si>
  <si>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</si>
  <si>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</si>
  <si>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</si>
  <si>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</si>
  <si>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</si>
  <si>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</si>
  <si>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</si>
  <si>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</si>
  <si>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</si>
  <si>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</si>
  <si>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</si>
  <si>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</si>
  <si>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</si>
  <si>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</si>
  <si>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</si>
  <si>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</si>
  <si>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</si>
  <si>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</si>
  <si>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</si>
  <si>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</si>
  <si>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</si>
  <si>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</si>
  <si>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</si>
  <si>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</si>
  <si>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</si>
  <si>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</si>
  <si>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</si>
  <si>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</si>
  <si>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</si>
  <si>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</si>
  <si>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</si>
  <si>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</si>
  <si>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</si>
  <si>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</si>
  <si>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</si>
  <si>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</si>
  <si>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</si>
  <si>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</si>
  <si>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</si>
  <si>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</si>
  <si>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</si>
  <si>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</si>
  <si>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</si>
  <si>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</si>
  <si>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</si>
  <si>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</si>
  <si>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</si>
  <si>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</si>
  <si>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</si>
  <si>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</si>
  <si>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</si>
  <si>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</si>
  <si>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</si>
  <si>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</si>
  <si>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</si>
  <si>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</si>
  <si>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</si>
  <si>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</si>
  <si>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</si>
  <si>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</si>
  <si>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</si>
  <si>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</si>
  <si>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</si>
  <si>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</si>
  <si>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</si>
  <si>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</si>
  <si>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</si>
  <si>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</si>
  <si>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</si>
  <si>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</si>
  <si>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</si>
  <si>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</si>
  <si>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</si>
  <si>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</si>
  <si>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</si>
  <si>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</si>
  <si>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</si>
  <si>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</si>
  <si>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</si>
  <si>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</si>
  <si>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</si>
  <si>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</si>
  <si>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</si>
  <si>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</si>
  <si>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</si>
  <si>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</si>
  <si>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</si>
  <si>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</si>
  <si>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</si>
  <si>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</si>
  <si>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</si>
  <si>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</si>
  <si>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</si>
  <si>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</si>
  <si>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</si>
  <si>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</si>
  <si>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</si>
  <si>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</si>
  <si>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</si>
  <si>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</si>
  <si>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</si>
  <si>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</si>
  <si>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</si>
  <si>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</si>
  <si>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</si>
  <si>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</si>
  <si>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</si>
  <si>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</si>
  <si>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</si>
  <si>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</si>
  <si>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</si>
  <si>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</si>
  <si>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</si>
  <si>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</si>
  <si>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</si>
  <si>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</si>
  <si>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</si>
  <si>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</si>
  <si>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</si>
  <si>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</si>
  <si>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</si>
  <si>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</si>
  <si>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</si>
  <si>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</si>
  <si>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</si>
  <si>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</si>
  <si>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</si>
  <si>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</si>
  <si>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</si>
  <si>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</si>
  <si>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</si>
  <si>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</si>
  <si>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</si>
  <si>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</si>
  <si>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</si>
  <si>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</si>
  <si>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</si>
  <si>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</si>
  <si>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</si>
  <si>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</si>
  <si>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</si>
  <si>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</si>
  <si>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</si>
  <si>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</si>
  <si>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</si>
  <si>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</si>
  <si>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</si>
  <si>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</si>
  <si>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</si>
  <si>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</si>
  <si>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</si>
  <si>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</si>
  <si>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</si>
  <si>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</si>
  <si>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</si>
  <si>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</si>
  <si>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</si>
  <si>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</si>
  <si>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</si>
  <si>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</si>
  <si>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</si>
  <si>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</si>
  <si>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</si>
  <si>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</si>
  <si>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</si>
  <si>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</si>
  <si>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</si>
  <si>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</si>
  <si>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</si>
  <si>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</si>
  <si>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</si>
  <si>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</si>
  <si>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</si>
  <si>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</si>
  <si>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</si>
  <si>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</si>
  <si>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</si>
  <si>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</si>
  <si>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</si>
  <si>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</si>
  <si>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</si>
  <si>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</si>
  <si>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</si>
  <si>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</si>
  <si>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</si>
  <si>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</si>
  <si>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</si>
  <si>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</si>
  <si>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</si>
  <si>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</si>
  <si>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</si>
  <si>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</si>
  <si>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</si>
  <si>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</si>
  <si>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</si>
  <si>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</si>
  <si>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</si>
  <si>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</si>
  <si>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</si>
  <si>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</si>
  <si>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</si>
  <si>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</si>
  <si>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</si>
  <si>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</si>
  <si>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</si>
  <si>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</si>
  <si>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</si>
  <si>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</si>
  <si>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</si>
  <si>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</si>
  <si>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</si>
  <si>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</si>
  <si>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</si>
  <si>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</si>
  <si>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</si>
  <si>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</si>
  <si>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</si>
  <si>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</si>
  <si>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</si>
  <si>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</si>
  <si>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</si>
  <si>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</si>
  <si>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</si>
  <si>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</si>
  <si>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</si>
  <si>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</si>
  <si>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</si>
  <si>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</si>
  <si>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</si>
  <si>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</si>
  <si>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</si>
  <si>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</si>
  <si>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</si>
  <si>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</si>
  <si>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</si>
  <si>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</si>
  <si>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</si>
  <si>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</si>
  <si>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</si>
  <si>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</si>
  <si>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</si>
  <si>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</si>
  <si>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</si>
  <si>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</si>
  <si>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</si>
  <si>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</si>
  <si>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</si>
  <si>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</si>
  <si>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</si>
  <si>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</si>
  <si>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</si>
  <si>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</si>
  <si>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</si>
  <si>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</si>
  <si>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</si>
  <si>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</si>
  <si>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</si>
  <si>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</si>
  <si>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</si>
  <si>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</si>
  <si>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</si>
  <si>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</si>
  <si>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</si>
  <si>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</si>
  <si>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</si>
  <si>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</si>
  <si>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</si>
  <si>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</si>
  <si>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</si>
  <si>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</si>
  <si>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</si>
  <si>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</si>
  <si>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</si>
  <si>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</si>
  <si>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</si>
  <si>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</si>
  <si>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</si>
  <si>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</si>
  <si>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</si>
  <si>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</si>
  <si>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</si>
  <si>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</si>
  <si>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</si>
  <si>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</si>
  <si>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</si>
  <si>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</si>
  <si>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</si>
  <si>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</si>
  <si>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</si>
  <si>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</si>
  <si>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</si>
  <si>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</si>
  <si>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</si>
  <si>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</si>
  <si>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</si>
  <si>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</si>
  <si>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</si>
  <si>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</si>
  <si>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</si>
  <si>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</si>
  <si>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</si>
  <si>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</si>
  <si>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</si>
  <si>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</si>
  <si>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</si>
  <si>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</si>
  <si>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</si>
  <si>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</si>
  <si>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</si>
  <si>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</si>
  <si>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</si>
  <si>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</si>
  <si>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</si>
  <si>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</si>
  <si>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</si>
  <si>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</si>
  <si>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</si>
  <si>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</si>
  <si>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</si>
  <si>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</si>
  <si>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</si>
  <si>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</si>
  <si>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</si>
  <si>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</si>
  <si>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</si>
  <si>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</si>
  <si>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</si>
  <si>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</si>
  <si>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</si>
  <si>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</si>
  <si>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</si>
  <si>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</si>
  <si>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</si>
  <si>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</si>
  <si>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</si>
  <si>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</si>
  <si>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</si>
  <si>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</si>
  <si>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</si>
  <si>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</si>
  <si>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</si>
  <si>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</si>
  <si>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</si>
  <si>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</si>
  <si>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</si>
  <si>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</si>
  <si>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</si>
  <si>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</si>
  <si>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</si>
  <si>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</si>
  <si>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</si>
  <si>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</si>
  <si>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</si>
  <si>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</si>
  <si>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</si>
  <si>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</si>
  <si>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</si>
  <si>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</si>
  <si>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</si>
  <si>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</si>
  <si>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</si>
  <si>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</si>
  <si>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</si>
  <si>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</si>
  <si>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</si>
  <si>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</si>
  <si>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</si>
  <si>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</si>
  <si>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</si>
  <si>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</si>
  <si>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</si>
  <si>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</si>
  <si>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</si>
  <si>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</si>
  <si>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</si>
  <si>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</si>
  <si>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</si>
  <si>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</si>
  <si>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</si>
  <si>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</si>
  <si>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</si>
  <si>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</si>
  <si>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</si>
  <si>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</si>
  <si>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</si>
  <si>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</si>
  <si>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</si>
  <si>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</si>
  <si>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</si>
  <si>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</si>
  <si>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</si>
  <si>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</si>
  <si>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</si>
  <si>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</si>
  <si>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</si>
  <si>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</si>
  <si>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</si>
  <si>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</si>
  <si>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</si>
  <si>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</si>
  <si>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</si>
  <si>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</si>
  <si>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</si>
  <si>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</si>
  <si>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</si>
  <si>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</si>
  <si>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</si>
  <si>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</si>
  <si>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</si>
  <si>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</si>
  <si>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</si>
  <si>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</si>
  <si>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</si>
  <si>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</si>
  <si>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</si>
  <si>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</si>
  <si>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</si>
  <si>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</si>
  <si>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</si>
  <si>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</si>
  <si>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</si>
  <si>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</si>
  <si>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</si>
  <si>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</si>
  <si>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</si>
  <si>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</si>
  <si>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</si>
  <si>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</si>
  <si>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</si>
  <si>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</si>
  <si>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</si>
  <si>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</si>
  <si>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</si>
  <si>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</si>
  <si>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</si>
  <si>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</si>
  <si>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</si>
  <si>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</si>
  <si>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</si>
  <si>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</si>
  <si>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</si>
  <si>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</si>
  <si>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</si>
  <si>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</si>
  <si>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</si>
  <si>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</si>
  <si>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</si>
  <si>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</si>
  <si>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</si>
  <si>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</si>
  <si>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</si>
  <si>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</si>
  <si>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</si>
  <si>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</si>
  <si>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</si>
  <si>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</si>
  <si>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</si>
  <si>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</si>
  <si>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</si>
  <si>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</si>
  <si>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</si>
  <si>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</si>
  <si>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</si>
  <si>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</si>
  <si>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</si>
  <si>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</si>
  <si>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</si>
  <si>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</si>
  <si>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</si>
  <si>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</si>
  <si>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</si>
  <si>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</si>
  <si>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</si>
  <si>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</si>
  <si>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</si>
  <si>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</si>
  <si>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</si>
  <si>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</si>
  <si>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</si>
  <si>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</si>
  <si>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</si>
  <si>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</si>
  <si>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</si>
  <si>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</si>
  <si>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</si>
  <si>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</si>
  <si>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</si>
  <si>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</si>
  <si>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</si>
  <si>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</si>
  <si>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</si>
  <si>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</si>
  <si>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</si>
  <si>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</si>
  <si>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</si>
  <si>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</si>
  <si>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</si>
  <si>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</si>
  <si>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</si>
  <si>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</si>
  <si>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</si>
  <si>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</si>
  <si>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</si>
  <si>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</si>
  <si>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</si>
  <si>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</si>
  <si>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</si>
  <si>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</si>
  <si>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</si>
  <si>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</si>
  <si>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</si>
  <si>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</si>
  <si>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</si>
  <si>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</si>
  <si>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</si>
  <si>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</si>
  <si>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</si>
  <si>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</si>
  <si>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</si>
  <si>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</si>
  <si>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</si>
  <si>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</si>
  <si>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</si>
  <si>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</si>
  <si>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</si>
  <si>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</si>
  <si>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</si>
  <si>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</si>
  <si>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</si>
  <si>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</si>
  <si>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</si>
  <si>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</si>
  <si>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</si>
  <si>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</si>
  <si>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</si>
  <si>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</si>
  <si>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</si>
  <si>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</si>
  <si>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</si>
  <si>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</si>
  <si>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</si>
  <si>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</si>
  <si>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</si>
  <si>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</si>
  <si>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</si>
  <si>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</si>
  <si>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</si>
  <si>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</si>
  <si>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</si>
  <si>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</si>
  <si>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</si>
  <si>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</si>
  <si>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</si>
  <si>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</si>
  <si>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</si>
  <si>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</si>
  <si>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</si>
  <si>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</si>
  <si>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</si>
  <si>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</si>
  <si>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</si>
  <si>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</si>
  <si>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</si>
  <si>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</si>
  <si>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</si>
  <si>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</si>
  <si>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</si>
  <si>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</si>
  <si>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</si>
  <si>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</si>
  <si>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</si>
  <si>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</si>
  <si>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</si>
  <si>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</si>
  <si>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</si>
  <si>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</si>
  <si>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</si>
  <si>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</si>
  <si>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</si>
  <si>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</si>
  <si>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</si>
  <si>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</si>
  <si>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</si>
  <si>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</si>
  <si>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</si>
  <si>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</si>
  <si>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</si>
  <si>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</si>
  <si>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</si>
  <si>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</si>
  <si>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</si>
  <si>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</si>
  <si>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</si>
  <si>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</si>
  <si>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</si>
  <si>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</si>
  <si>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</si>
  <si>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</si>
  <si>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</si>
  <si>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</si>
  <si>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</si>
  <si>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</si>
  <si>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</si>
  <si>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</si>
  <si>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</si>
  <si>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</si>
  <si>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</si>
  <si>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</si>
  <si>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</si>
  <si>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</si>
  <si>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</si>
  <si>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</si>
  <si>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</si>
  <si>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</si>
  <si>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</si>
  <si>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</si>
  <si>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</si>
  <si>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</si>
  <si>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</si>
  <si>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</si>
  <si>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</si>
  <si>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</si>
  <si>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</si>
  <si>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</si>
  <si>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</si>
  <si>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</si>
  <si>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</si>
  <si>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</si>
  <si>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</si>
  <si>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</si>
  <si>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</si>
  <si>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</si>
  <si>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</si>
  <si>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</si>
  <si>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</si>
  <si>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</si>
  <si>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</si>
  <si>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</si>
  <si>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</si>
  <si>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</si>
  <si>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</si>
  <si>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</si>
  <si>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</si>
  <si>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</si>
  <si>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</si>
  <si>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</si>
  <si>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</si>
  <si>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</si>
  <si>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</si>
  <si>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</si>
  <si>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</si>
  <si>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</si>
  <si>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</si>
  <si>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</si>
  <si>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</si>
  <si>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</si>
  <si>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</si>
  <si>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</si>
  <si>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</si>
  <si>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</si>
  <si>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</si>
  <si>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</si>
  <si>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</si>
  <si>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</si>
  <si>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</si>
  <si>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</si>
  <si>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</si>
  <si>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</si>
  <si>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</si>
  <si>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</si>
  <si>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</si>
  <si>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</si>
  <si>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</si>
  <si>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</si>
  <si>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</si>
  <si>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</si>
  <si>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</si>
  <si>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</si>
  <si>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</si>
  <si>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</si>
  <si>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</si>
  <si>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</si>
  <si>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</si>
  <si>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</si>
  <si>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</si>
  <si>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</si>
  <si>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</si>
  <si>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</si>
  <si>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</si>
  <si>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</si>
  <si>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</si>
  <si>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</si>
  <si>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</si>
  <si>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</si>
  <si>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</si>
  <si>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</si>
  <si>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</si>
  <si>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</si>
  <si>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</si>
  <si>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</si>
  <si>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</si>
  <si>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</si>
  <si>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</si>
  <si>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</si>
  <si>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</si>
  <si>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</si>
  <si>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</si>
  <si>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</si>
  <si>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</si>
  <si>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</si>
  <si>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</si>
  <si>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</si>
  <si>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</si>
  <si>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</si>
  <si>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</si>
  <si>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</si>
  <si>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</si>
  <si>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</si>
  <si>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</si>
  <si>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</si>
  <si>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</si>
  <si>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</si>
  <si>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</si>
  <si>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</si>
  <si>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</si>
  <si>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</si>
  <si>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</si>
  <si>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</si>
  <si>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</si>
  <si>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</si>
  <si>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</si>
  <si>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</si>
  <si>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</si>
  <si>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</si>
  <si>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</si>
  <si>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</si>
  <si>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</si>
  <si>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</si>
  <si>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</si>
  <si>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</si>
  <si>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</si>
  <si>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</si>
  <si>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</si>
  <si>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</si>
  <si>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</si>
  <si>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</si>
  <si>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</si>
  <si>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</si>
  <si>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</si>
  <si>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</si>
  <si>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</si>
  <si>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</si>
  <si>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</si>
  <si>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</si>
  <si>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</si>
  <si>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</si>
  <si>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</si>
  <si>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</si>
  <si>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</si>
  <si>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</si>
  <si>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</si>
  <si>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</si>
  <si>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</si>
  <si>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</si>
  <si>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</si>
  <si>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</si>
  <si>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</si>
  <si>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</si>
  <si>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</si>
  <si>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</si>
  <si>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</si>
  <si>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</si>
  <si>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</si>
  <si>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</si>
  <si>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</si>
  <si>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</si>
  <si>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</si>
  <si>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</si>
  <si>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</si>
  <si>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</si>
  <si>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</si>
  <si>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</si>
  <si>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</si>
  <si>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</si>
  <si>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</si>
  <si>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</si>
  <si>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</si>
  <si>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</si>
  <si>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</si>
  <si>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</si>
  <si>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</si>
  <si>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</si>
  <si>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</si>
  <si>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</si>
  <si>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</si>
  <si>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</si>
  <si>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</si>
  <si>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</si>
  <si>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</si>
  <si>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</si>
  <si>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</si>
  <si>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</si>
  <si>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</si>
  <si>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</si>
  <si>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</si>
  <si>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</si>
  <si>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</si>
  <si>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</si>
  <si>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</si>
  <si>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</si>
  <si>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</si>
  <si>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</si>
  <si>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</si>
  <si>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</si>
  <si>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</si>
  <si>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</si>
  <si>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</si>
  <si>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</si>
  <si>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</si>
  <si>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</si>
  <si>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</si>
  <si>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</si>
  <si>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</si>
  <si>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</si>
  <si>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</si>
  <si>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</si>
  <si>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</si>
  <si>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</si>
  <si>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</si>
  <si>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</si>
  <si>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</si>
  <si>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</si>
  <si>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</si>
  <si>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</si>
  <si>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</si>
  <si>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</si>
  <si>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</si>
  <si>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</si>
  <si>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</si>
  <si>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</si>
  <si>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</si>
  <si>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</si>
  <si>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</si>
  <si>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</si>
  <si>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</si>
  <si>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</si>
  <si>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</si>
  <si>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</si>
  <si>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</si>
  <si>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</si>
  <si>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</si>
  <si>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</si>
  <si>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</si>
  <si>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</si>
  <si>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</si>
  <si>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</si>
  <si>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</si>
  <si>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</si>
  <si>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</si>
  <si>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</si>
  <si>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</si>
  <si>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</si>
  <si>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</si>
  <si>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</si>
  <si>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</si>
  <si>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</si>
  <si>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</si>
  <si>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</si>
  <si>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</si>
  <si>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</si>
  <si>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</si>
  <si>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</si>
  <si>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</si>
  <si>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</si>
  <si>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</si>
  <si>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</si>
  <si>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</si>
  <si>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</si>
  <si>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</si>
  <si>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</si>
  <si>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</si>
  <si>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</si>
  <si>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</si>
  <si>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</si>
  <si>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</si>
  <si>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</si>
  <si>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</si>
  <si>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</si>
  <si>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</si>
  <si>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</si>
  <si>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</si>
  <si>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</si>
  <si>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</si>
  <si>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</si>
  <si>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</si>
  <si>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</si>
  <si>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</si>
  <si>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</si>
  <si>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</si>
  <si>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</si>
  <si>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</si>
  <si>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</si>
  <si>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</si>
  <si>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</si>
  <si>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</si>
  <si>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</si>
  <si>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</si>
  <si>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</si>
  <si>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</si>
  <si>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</si>
  <si>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</si>
  <si>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</si>
  <si>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</si>
  <si>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</si>
  <si>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</si>
  <si>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</si>
  <si>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</si>
  <si>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</si>
  <si>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</si>
  <si>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</si>
  <si>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</si>
  <si>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</si>
  <si>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</si>
  <si>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</si>
  <si>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</si>
  <si>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</si>
  <si>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</si>
  <si>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</si>
  <si>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</si>
  <si>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</si>
  <si>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</si>
  <si>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</si>
  <si>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</si>
  <si>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</si>
  <si>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</si>
  <si>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</si>
  <si>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</si>
  <si>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</si>
  <si>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</si>
  <si>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</si>
  <si>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</si>
  <si>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</si>
  <si>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</si>
  <si>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</si>
  <si>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</si>
  <si>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</si>
  <si>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</si>
  <si>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</si>
  <si>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</si>
  <si>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</si>
  <si>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</si>
  <si>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</si>
  <si>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</si>
  <si>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</si>
  <si>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</si>
  <si>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</si>
  <si>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</si>
  <si>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</si>
  <si>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</si>
  <si>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</si>
  <si>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</si>
  <si>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</si>
  <si>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</si>
  <si>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</si>
  <si>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</si>
  <si>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</si>
  <si>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</si>
  <si>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</si>
  <si>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</si>
  <si>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</si>
  <si>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</si>
  <si>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</si>
  <si>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</si>
  <si>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</si>
  <si>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</si>
  <si>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</si>
  <si>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</si>
  <si>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</si>
  <si>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</si>
  <si>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</si>
  <si>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</si>
  <si>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</si>
  <si>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</si>
  <si>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</si>
  <si>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</si>
  <si>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</si>
  <si>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</si>
  <si>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</si>
  <si>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</si>
  <si>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</si>
  <si>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</si>
  <si>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</si>
  <si>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</si>
  <si>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</si>
  <si>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</si>
  <si>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</si>
  <si>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</si>
  <si>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</si>
  <si>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</si>
  <si>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</si>
  <si>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</si>
  <si>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</si>
  <si>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</si>
  <si>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</si>
  <si>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</si>
  <si>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</si>
  <si>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</si>
  <si>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</si>
  <si>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</si>
  <si>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</si>
  <si>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</si>
  <si>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</si>
  <si>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</si>
  <si>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</si>
  <si>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</si>
  <si>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</si>
  <si>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</si>
  <si>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</si>
  <si>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</si>
  <si>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</si>
  <si>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</si>
  <si>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</si>
  <si>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</si>
  <si>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</si>
  <si>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</si>
  <si>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</si>
  <si>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</si>
  <si>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</si>
  <si>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</si>
  <si>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</si>
  <si>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</si>
  <si>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</si>
  <si>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</si>
  <si>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</si>
  <si>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</si>
  <si>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</si>
  <si>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</si>
  <si>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</si>
  <si>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</si>
  <si>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</si>
  <si>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</si>
  <si>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</si>
  <si>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</si>
  <si>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</si>
  <si>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</si>
  <si>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</si>
  <si>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</si>
  <si>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</si>
  <si>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</si>
  <si>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</si>
  <si>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</si>
  <si>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</si>
  <si>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</si>
  <si>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</si>
  <si>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</si>
  <si>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</si>
  <si>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</si>
  <si>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</si>
  <si>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</si>
  <si>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</si>
  <si>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</si>
  <si>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</si>
  <si>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</si>
  <si>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</si>
  <si>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</si>
  <si>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</si>
  <si>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</si>
  <si>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</si>
  <si>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</si>
  <si>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</si>
  <si>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</si>
  <si>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</si>
  <si>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</si>
  <si>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</si>
  <si>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</si>
  <si>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</si>
  <si>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</si>
  <si>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</si>
  <si>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</si>
  <si>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</si>
  <si>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</si>
  <si>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</si>
  <si>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</si>
  <si>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</si>
  <si>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</si>
  <si>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</si>
  <si>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</si>
  <si>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</si>
  <si>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</si>
  <si>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</si>
  <si>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</si>
  <si>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</si>
  <si>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</si>
  <si>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</si>
  <si>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</si>
  <si>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</si>
  <si>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</si>
  <si>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</si>
  <si>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</si>
  <si>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</si>
  <si>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</si>
  <si>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</si>
  <si>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</si>
  <si>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</si>
  <si>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</si>
  <si>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</si>
  <si>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</si>
  <si>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</si>
  <si>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</si>
  <si>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</si>
  <si>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</si>
  <si>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</si>
  <si>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</si>
  <si>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</si>
  <si>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</si>
  <si>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</si>
  <si>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</si>
  <si>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</si>
  <si>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</si>
  <si>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</si>
  <si>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</si>
  <si>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</si>
  <si>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</si>
  <si>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</si>
  <si>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</si>
  <si>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</si>
  <si>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</si>
  <si>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</si>
  <si>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</si>
  <si>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</si>
  <si>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</si>
  <si>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</si>
  <si>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</si>
  <si>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</si>
  <si>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</si>
  <si>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</si>
  <si>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</si>
  <si>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</si>
  <si>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</si>
  <si>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</si>
  <si>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</si>
  <si>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</si>
  <si>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</si>
  <si>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</si>
  <si>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</si>
  <si>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</si>
  <si>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</si>
  <si>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</si>
  <si>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</si>
  <si>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</si>
  <si>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</si>
  <si>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</si>
  <si>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</si>
  <si>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</si>
  <si>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</si>
  <si>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</si>
  <si>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</si>
  <si>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</si>
  <si>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</si>
  <si>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</si>
  <si>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</si>
  <si>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</si>
  <si>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</si>
  <si>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</si>
  <si>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</si>
  <si>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</si>
  <si>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</si>
  <si>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</si>
  <si>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</si>
  <si>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</si>
  <si>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</si>
  <si>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</si>
  <si>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</si>
  <si>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</si>
  <si>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</si>
  <si>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</si>
  <si>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</si>
  <si>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</si>
  <si>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</si>
  <si>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</si>
  <si>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</si>
  <si>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</si>
  <si>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</si>
  <si>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</si>
  <si>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</si>
  <si>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</si>
  <si>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</si>
  <si>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</si>
  <si>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</si>
  <si>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</si>
  <si>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</si>
  <si>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</si>
  <si>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</si>
  <si>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</si>
  <si>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</si>
  <si>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</si>
  <si>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</si>
  <si>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</si>
  <si>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</si>
  <si>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</si>
  <si>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</si>
  <si>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</si>
  <si>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</si>
  <si>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</si>
  <si>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</si>
  <si>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</si>
  <si>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</si>
  <si>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</si>
  <si>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</si>
  <si>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</si>
  <si>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</si>
  <si>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</si>
  <si>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</si>
  <si>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</si>
  <si>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</si>
  <si>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</si>
  <si>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</si>
  <si>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</si>
  <si>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</si>
  <si>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</si>
  <si>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</si>
  <si>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</si>
  <si>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</si>
  <si>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</si>
  <si>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</si>
  <si>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</si>
  <si>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</si>
  <si>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</si>
  <si>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</si>
  <si>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</si>
  <si>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</si>
  <si>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</si>
  <si>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</si>
  <si>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</si>
  <si>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</si>
  <si>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</si>
  <si>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</si>
  <si>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</si>
  <si>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</si>
  <si>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</si>
  <si>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</si>
  <si>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</si>
  <si>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</si>
  <si>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</si>
  <si>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</si>
  <si>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</si>
  <si>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</si>
  <si>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</si>
  <si>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</si>
  <si>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</si>
  <si>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</si>
  <si>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</si>
  <si>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</si>
  <si>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</si>
  <si>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</si>
  <si>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</si>
  <si>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</si>
  <si>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</si>
  <si>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</si>
  <si>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</si>
  <si>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</si>
  <si>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</si>
  <si>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</si>
  <si>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</si>
  <si>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</si>
  <si>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</si>
  <si>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</si>
  <si>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</si>
  <si>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</si>
  <si>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</si>
  <si>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</si>
  <si>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</si>
  <si>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</si>
  <si>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</si>
  <si>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</si>
  <si>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</si>
  <si>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</si>
  <si>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</si>
  <si>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</si>
  <si>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</si>
  <si>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</si>
  <si>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</si>
  <si>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</si>
  <si>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</si>
  <si>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</si>
  <si>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</si>
  <si>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</si>
  <si>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</si>
  <si>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</si>
  <si>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</si>
  <si>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</si>
  <si>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</si>
  <si>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</si>
  <si>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</si>
  <si>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</si>
  <si>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</si>
  <si>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</si>
  <si>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</si>
  <si>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</si>
  <si>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</si>
  <si>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</si>
  <si>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</si>
  <si>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</si>
  <si>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</si>
  <si>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</si>
  <si>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</si>
  <si>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</si>
  <si>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</si>
  <si>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</si>
  <si>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</si>
  <si>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</si>
  <si>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</si>
  <si>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</si>
  <si>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</si>
  <si>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</si>
  <si>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</si>
  <si>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</si>
  <si>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</si>
  <si>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</si>
  <si>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</si>
  <si>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</si>
  <si>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</si>
  <si>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</si>
  <si>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</si>
  <si>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</si>
  <si>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</si>
  <si>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</si>
  <si>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</si>
  <si>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</si>
  <si>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</si>
  <si>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</si>
  <si>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</si>
  <si>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</si>
  <si>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</si>
  <si>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</si>
  <si>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</si>
  <si>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</si>
  <si>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</si>
  <si>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</si>
  <si>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</si>
  <si>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</si>
  <si>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</si>
  <si>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</si>
  <si>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</si>
  <si>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</si>
  <si>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</si>
  <si>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</si>
  <si>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</si>
  <si>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</si>
  <si>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</si>
  <si>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</si>
  <si>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</si>
  <si>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</si>
  <si>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</si>
  <si>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</si>
  <si>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</si>
  <si>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</si>
  <si>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</si>
  <si>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</si>
  <si>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</si>
  <si>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</si>
  <si>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</si>
  <si>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</si>
  <si>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</si>
  <si>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</si>
  <si>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</si>
  <si>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</si>
  <si>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</si>
  <si>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</si>
  <si>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</si>
  <si>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</si>
  <si>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</si>
  <si>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</si>
  <si>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</si>
  <si>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</si>
  <si>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</si>
  <si>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</si>
  <si>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</si>
  <si>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</si>
  <si>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</si>
  <si>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</si>
  <si>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</si>
  <si>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</si>
  <si>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</si>
  <si>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</si>
  <si>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</si>
  <si>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</si>
  <si>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</si>
  <si>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</si>
  <si>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</si>
  <si>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</si>
  <si>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</si>
  <si>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</si>
  <si>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</si>
  <si>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</si>
  <si>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</si>
  <si>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</si>
  <si>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</si>
  <si>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</si>
  <si>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</si>
  <si>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</si>
  <si>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</si>
  <si>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</si>
  <si>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</si>
  <si>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</si>
  <si>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</si>
  <si>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</si>
  <si>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</si>
  <si>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</si>
  <si>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</si>
  <si>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</si>
  <si>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</si>
  <si>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</si>
  <si>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</si>
  <si>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</si>
  <si>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</si>
  <si>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</si>
  <si>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</si>
  <si>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</si>
  <si>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</si>
  <si>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</si>
  <si>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</si>
  <si>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</si>
  <si>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</si>
  <si>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</si>
  <si>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</si>
  <si>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</si>
  <si>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</si>
  <si>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</si>
  <si>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</si>
  <si>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</si>
  <si>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</si>
  <si>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</si>
  <si>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</si>
  <si>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</si>
  <si>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</si>
  <si>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</si>
  <si>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</si>
  <si>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</si>
  <si>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</si>
  <si>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</si>
  <si>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</si>
  <si>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</si>
  <si>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</si>
  <si>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</si>
  <si>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</si>
  <si>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</si>
  <si>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</si>
  <si>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</si>
  <si>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</si>
  <si>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</si>
  <si>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</si>
  <si>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</si>
  <si>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</si>
  <si>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</si>
  <si>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</si>
  <si>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</si>
  <si>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</si>
  <si>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</si>
  <si>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</si>
  <si>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</si>
  <si>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</si>
  <si>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</si>
  <si>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</si>
  <si>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</si>
  <si>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</si>
  <si>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</si>
  <si>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</si>
  <si>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</si>
  <si>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</si>
  <si>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</si>
  <si>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</si>
  <si>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</si>
  <si>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</si>
  <si>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</si>
  <si>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</si>
  <si>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</si>
  <si>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</si>
  <si>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</si>
  <si>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</si>
  <si>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</si>
  <si>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</si>
  <si>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</si>
  <si>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</si>
  <si>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</si>
  <si>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</si>
  <si>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</si>
  <si>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</si>
  <si>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</si>
  <si>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</si>
  <si>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</si>
  <si>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</si>
  <si>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</si>
  <si>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</si>
  <si>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</si>
  <si>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</si>
  <si>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</si>
  <si>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</si>
  <si>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</si>
  <si>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</si>
  <si>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</si>
  <si>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</si>
  <si>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</si>
  <si>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</si>
  <si>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</si>
  <si>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</si>
  <si>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</si>
  <si>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</si>
  <si>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</si>
  <si>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</si>
  <si>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</si>
  <si>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</si>
  <si>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</si>
  <si>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</si>
  <si>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</si>
  <si>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</si>
  <si>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</si>
  <si>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</si>
  <si>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</si>
  <si>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</si>
  <si>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</si>
  <si>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</si>
  <si>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</si>
  <si>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</si>
  <si>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</si>
  <si>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</si>
  <si>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</si>
  <si>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</si>
  <si>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</si>
  <si>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</si>
  <si>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</si>
  <si>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</si>
  <si>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</si>
  <si>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</si>
  <si>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</si>
  <si>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</si>
  <si>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</si>
  <si>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</si>
  <si>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</si>
  <si>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</si>
  <si>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</si>
  <si>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</si>
  <si>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</si>
  <si>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</si>
  <si>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</si>
  <si>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</si>
  <si>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</si>
  <si>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</si>
  <si>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</si>
  <si>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</si>
  <si>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</si>
  <si>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</si>
  <si>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</si>
  <si>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</si>
  <si>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</si>
  <si>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</si>
  <si>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</si>
  <si>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</si>
  <si>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</si>
  <si>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</si>
  <si>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</si>
  <si>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</si>
  <si>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</si>
  <si>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</si>
  <si>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</si>
  <si>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</si>
  <si>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</si>
  <si>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</si>
  <si>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</si>
  <si>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</si>
  <si>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</si>
  <si>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</si>
  <si>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</si>
  <si>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</si>
  <si>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</si>
  <si>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</si>
  <si>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</si>
  <si>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</si>
  <si>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</si>
  <si>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</si>
  <si>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</si>
  <si>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</si>
  <si>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</si>
  <si>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</si>
  <si>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</si>
  <si>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</si>
  <si>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</si>
  <si>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</si>
  <si>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</si>
  <si>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</si>
  <si>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</si>
  <si>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</si>
  <si>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</si>
  <si>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</si>
  <si>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</si>
  <si>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</si>
  <si>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</si>
  <si>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</si>
  <si>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</si>
  <si>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</si>
  <si>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</si>
  <si>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</si>
  <si>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</si>
  <si>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</si>
  <si>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</si>
  <si>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</si>
  <si>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</si>
  <si>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</si>
  <si>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</si>
  <si>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</si>
  <si>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</si>
  <si>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</si>
  <si>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</si>
  <si>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</si>
  <si>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</si>
  <si>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</si>
  <si>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</si>
  <si>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</si>
  <si>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</si>
  <si>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</si>
  <si>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</si>
  <si>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</si>
  <si>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</si>
  <si>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</si>
  <si>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</si>
  <si>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</si>
  <si>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</si>
  <si>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</si>
  <si>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</si>
  <si>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</si>
  <si>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</si>
  <si>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</si>
  <si>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</si>
  <si>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</si>
  <si>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</si>
  <si>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</si>
  <si>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</si>
  <si>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</si>
  <si>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</si>
  <si>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</si>
  <si>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</si>
  <si>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</si>
  <si>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</si>
  <si>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</si>
  <si>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</si>
  <si>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</si>
  <si>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</si>
  <si>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</si>
  <si>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</si>
  <si>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</si>
  <si>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</si>
  <si>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</si>
  <si>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</si>
  <si>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</si>
  <si>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</si>
  <si>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</si>
  <si>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</si>
  <si>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</si>
  <si>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</si>
  <si>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</si>
  <si>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</si>
  <si>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</si>
  <si>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</si>
  <si>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</si>
  <si>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</si>
  <si>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</si>
  <si>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</si>
  <si>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</si>
  <si>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</si>
  <si>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</si>
  <si>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</si>
  <si>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</si>
  <si>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</si>
  <si>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</si>
  <si>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</si>
  <si>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</si>
  <si>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</si>
  <si>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</si>
  <si>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</si>
  <si>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</si>
  <si>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</si>
  <si>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</si>
  <si>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</si>
  <si>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</si>
  <si>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</si>
  <si>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</si>
  <si>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</si>
  <si>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</si>
  <si>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</si>
  <si>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</si>
  <si>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</si>
  <si>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</si>
  <si>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</si>
  <si>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</si>
  <si>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</si>
  <si>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</si>
  <si>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</si>
  <si>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</si>
  <si>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</si>
  <si>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</si>
  <si>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</si>
  <si>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</si>
  <si>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</si>
  <si>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</si>
  <si>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</si>
  <si>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</si>
  <si>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</si>
  <si>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</si>
  <si>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</si>
  <si>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</si>
  <si>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</si>
  <si>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</si>
  <si>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</si>
  <si>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</si>
  <si>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</si>
  <si>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</si>
  <si>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</si>
  <si>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</si>
  <si>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</si>
  <si>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</si>
  <si>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</si>
  <si>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</si>
  <si>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</si>
  <si>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</si>
  <si>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</si>
  <si>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</si>
  <si>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</si>
  <si>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</si>
  <si>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</si>
  <si>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</si>
  <si>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</si>
  <si>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</si>
  <si>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</si>
  <si>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</si>
  <si>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</si>
  <si>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</si>
  <si>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</si>
  <si>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</si>
  <si>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</si>
  <si>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</si>
  <si>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</si>
  <si>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</si>
  <si>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</si>
  <si>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</si>
  <si>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</si>
  <si>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</si>
  <si>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</si>
  <si>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</si>
  <si>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</si>
  <si>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</si>
  <si>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</si>
  <si>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</si>
  <si>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</si>
  <si>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</si>
  <si>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</si>
  <si>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</si>
  <si>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</si>
  <si>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</si>
  <si>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</si>
  <si>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</si>
  <si>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</si>
  <si>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</si>
  <si>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</si>
  <si>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</si>
  <si>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</si>
  <si>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</si>
  <si>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</si>
  <si>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</si>
  <si>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</si>
  <si>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</si>
  <si>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</si>
  <si>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</si>
  <si>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</si>
  <si>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</si>
  <si>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</si>
  <si>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</si>
  <si>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</si>
  <si>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</si>
  <si>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</si>
  <si>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</si>
  <si>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</si>
  <si>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</si>
  <si>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</si>
  <si>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</si>
  <si>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</si>
  <si>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</si>
  <si>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</si>
  <si>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</si>
  <si>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</si>
  <si>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</si>
  <si>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</si>
  <si>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</si>
  <si>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</si>
  <si>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</si>
  <si>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</si>
  <si>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</si>
  <si>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</si>
  <si>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</si>
  <si>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</si>
  <si>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</si>
  <si>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</si>
  <si>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</si>
  <si>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</si>
  <si>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</si>
  <si>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</si>
  <si>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</si>
  <si>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</si>
  <si>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</si>
  <si>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</si>
  <si>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</si>
  <si>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</si>
  <si>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</si>
  <si>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</si>
  <si>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</si>
  <si>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</si>
  <si>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</si>
  <si>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</si>
  <si>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</si>
  <si>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</si>
  <si>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</si>
  <si>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</si>
  <si>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</si>
  <si>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</si>
  <si>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</si>
  <si>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</si>
  <si>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</si>
  <si>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</si>
  <si>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</si>
  <si>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</si>
  <si>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</si>
  <si>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</si>
  <si>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</si>
  <si>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</si>
  <si>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</si>
  <si>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</si>
  <si>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</si>
  <si>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</si>
  <si>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</si>
  <si>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</si>
  <si>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</si>
  <si>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</si>
  <si>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</si>
  <si>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</si>
  <si>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</si>
  <si>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</si>
  <si>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</si>
  <si>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</si>
  <si>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</si>
  <si>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</si>
  <si>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</si>
  <si>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</si>
  <si>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</si>
  <si>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</si>
  <si>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</si>
  <si>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</si>
  <si>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</si>
  <si>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</si>
  <si>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</si>
  <si>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</si>
  <si>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</si>
  <si>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</si>
  <si>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</si>
  <si>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</si>
  <si>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</si>
  <si>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</si>
  <si>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</si>
  <si>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</si>
  <si>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</si>
  <si>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</si>
  <si>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</si>
  <si>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</si>
  <si>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</si>
  <si>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</si>
  <si>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</si>
  <si>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</si>
  <si>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</si>
  <si>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</si>
  <si>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</si>
  <si>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</si>
  <si>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</si>
  <si>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</si>
  <si>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</si>
  <si>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</si>
  <si>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</si>
  <si>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</si>
  <si>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</si>
  <si>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</si>
  <si>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</si>
  <si>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</si>
  <si>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</si>
  <si>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</si>
  <si>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</si>
  <si>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</si>
  <si>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</si>
  <si>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</si>
  <si>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</si>
  <si>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</si>
  <si>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</si>
  <si>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</si>
  <si>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</si>
  <si>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</si>
  <si>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</si>
  <si>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</si>
  <si>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</si>
  <si>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</si>
  <si>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</si>
  <si>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</si>
  <si>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</si>
  <si>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</si>
  <si>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</si>
  <si>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</si>
  <si>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</si>
  <si>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</si>
  <si>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</si>
  <si>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</si>
  <si>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</si>
  <si>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</si>
  <si>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</si>
  <si>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</si>
  <si>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</si>
  <si>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</si>
  <si>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</si>
  <si>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</si>
  <si>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</si>
  <si>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</si>
  <si>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</si>
  <si>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</si>
  <si>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</si>
  <si>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</si>
  <si>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</si>
  <si>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</si>
  <si>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</si>
  <si>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</si>
  <si>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</si>
  <si>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</si>
  <si>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</si>
  <si>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</si>
  <si>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</si>
  <si>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</si>
  <si>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</si>
  <si>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</si>
  <si>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</si>
  <si>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</si>
  <si>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</si>
  <si>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</si>
  <si>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</si>
  <si>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</si>
  <si>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</si>
  <si>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</si>
  <si>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</si>
  <si>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</si>
  <si>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</si>
  <si>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</si>
  <si>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</si>
  <si>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</si>
  <si>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</si>
  <si>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</si>
  <si>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</si>
  <si>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</si>
  <si>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</si>
  <si>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</si>
  <si>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</si>
  <si>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</si>
  <si>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</si>
  <si>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</si>
  <si>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</si>
  <si>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</si>
  <si>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</si>
  <si>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</si>
  <si>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</si>
  <si>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</si>
  <si>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</si>
  <si>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</si>
  <si>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</si>
  <si>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</si>
  <si>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</si>
  <si>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</si>
  <si>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</si>
  <si>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</si>
  <si>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</si>
  <si>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</si>
  <si>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</si>
  <si>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</si>
  <si>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</si>
  <si>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</si>
  <si>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</si>
  <si>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</si>
  <si>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</si>
  <si>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</si>
  <si>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</si>
  <si>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</si>
  <si>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</si>
  <si>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</si>
  <si>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</si>
  <si>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</si>
  <si>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</si>
  <si>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</si>
  <si>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</si>
  <si>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</si>
  <si>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</si>
  <si>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</si>
  <si>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</si>
  <si>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</si>
  <si>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</si>
  <si>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</si>
  <si>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</si>
  <si>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</si>
  <si>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</si>
  <si>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</si>
  <si>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</si>
  <si>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</si>
  <si>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</si>
  <si>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</si>
  <si>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</si>
  <si>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</si>
  <si>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</si>
  <si>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</si>
  <si>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</si>
  <si>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</si>
  <si>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</si>
  <si>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</si>
  <si>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</si>
  <si>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</si>
  <si>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</si>
  <si>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</si>
  <si>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</si>
  <si>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</si>
  <si>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</si>
  <si>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</si>
  <si>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</si>
  <si>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</si>
  <si>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</si>
  <si>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</si>
  <si>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</si>
  <si>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</si>
  <si>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</si>
  <si>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</si>
  <si>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</si>
  <si>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</si>
  <si>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</si>
  <si>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</si>
  <si>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</si>
  <si>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</si>
  <si>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</si>
  <si>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</si>
  <si>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</si>
  <si>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</si>
  <si>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</si>
  <si>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</si>
  <si>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</si>
  <si>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</si>
  <si>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</si>
  <si>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</si>
  <si>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</si>
  <si>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</si>
  <si>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</si>
  <si>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</si>
  <si>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</si>
  <si>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</si>
  <si>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</si>
  <si>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</si>
  <si>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</si>
  <si>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</si>
  <si>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</si>
  <si>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</si>
  <si>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</si>
  <si>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</si>
  <si>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</si>
  <si>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</si>
  <si>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</si>
  <si>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</si>
  <si>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</si>
  <si>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</si>
  <si>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</si>
  <si>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</si>
  <si>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</si>
  <si>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</si>
  <si>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</si>
  <si>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</si>
  <si>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</si>
  <si>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</si>
  <si>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</si>
  <si>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</si>
  <si>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</si>
  <si>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</si>
  <si>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</si>
  <si>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</si>
  <si>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</si>
  <si>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</si>
  <si>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</si>
  <si>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</si>
  <si>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</si>
  <si>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</si>
  <si>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</si>
  <si>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</si>
  <si>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</si>
  <si>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</si>
  <si>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</si>
  <si>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</si>
  <si>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</si>
  <si>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</si>
  <si>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</si>
  <si>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</si>
  <si>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</si>
  <si>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</si>
  <si>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</si>
  <si>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</si>
  <si>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</si>
  <si>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</si>
  <si>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</si>
  <si>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</si>
  <si>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</si>
  <si>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</si>
  <si>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</si>
  <si>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</si>
  <si>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</si>
  <si>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</si>
  <si>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</si>
  <si>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</si>
  <si>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</si>
  <si>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</si>
  <si>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</si>
  <si>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</si>
  <si>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</si>
  <si>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</si>
  <si>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</si>
  <si>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</si>
  <si>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</si>
  <si>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</si>
  <si>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</si>
  <si>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</si>
  <si>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</si>
  <si>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</si>
  <si>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</si>
  <si>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</si>
  <si>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</si>
  <si>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</si>
  <si>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</si>
  <si>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</si>
  <si>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</si>
  <si>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</si>
  <si>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</si>
  <si>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</si>
  <si>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</si>
  <si>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</si>
  <si>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</si>
  <si>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</si>
  <si>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</si>
  <si>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</si>
  <si>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</si>
  <si>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</si>
  <si>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</si>
  <si>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</si>
  <si>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</si>
  <si>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</si>
  <si>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</si>
  <si>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</si>
  <si>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</si>
  <si>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</si>
  <si>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</si>
  <si>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</si>
  <si>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</si>
  <si>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</si>
  <si>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</si>
  <si>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</si>
  <si>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</si>
  <si>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</si>
  <si>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</si>
  <si>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</si>
  <si>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</si>
  <si>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</si>
  <si>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</si>
  <si>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</si>
  <si>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</si>
  <si>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</si>
  <si>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</si>
  <si>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</si>
  <si>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</si>
  <si>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</si>
  <si>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</si>
  <si>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</si>
  <si>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</si>
  <si>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</si>
  <si>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</si>
  <si>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</si>
  <si>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</si>
  <si>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</si>
  <si>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</si>
  <si>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</si>
  <si>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</si>
  <si>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</si>
  <si>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</si>
  <si>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</si>
  <si>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</si>
  <si>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</si>
  <si>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</si>
  <si>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</si>
  <si>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</si>
  <si>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</si>
  <si>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</si>
  <si>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</si>
  <si>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</si>
  <si>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</si>
  <si>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</si>
  <si>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</si>
  <si>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其他：</t>
  </si>
  <si>
    <t>企业</t>
  </si>
  <si>
    <t>出让</t>
  </si>
  <si>
    <t>地上</t>
  </si>
  <si>
    <t>平层住宅</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</si>
  <si>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</si>
  <si>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</si>
  <si>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</si>
  <si>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</si>
  <si>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</si>
  <si>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</si>
  <si>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</si>
  <si>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</si>
  <si>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</si>
  <si>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</si>
  <si>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</si>
  <si>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</si>
  <si>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</si>
  <si>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奉贤区南桥镇25-01区域地块</t>
  </si>
  <si>
    <t>上海市</t>
  </si>
  <si>
    <t>住宅用地</t>
  </si>
  <si>
    <t>挂牌</t>
  </si>
  <si>
    <t>2017-11-14</t>
  </si>
  <si>
    <t>上海盈朴贸易有限公司(卓越)</t>
  </si>
  <si>
    <t>奉贤区南桥新城15单元06A-03A、10A-03A区域地块</t>
  </si>
  <si>
    <t>重庆龙湖地产发展有限公司</t>
  </si>
  <si>
    <t>2017-11-01</t>
  </si>
  <si>
    <t>上海建林置业有限公司</t>
  </si>
  <si>
    <t>奉贤南桥新城12单元17A-02A区域地块</t>
  </si>
  <si>
    <t>2017-10-10</t>
  </si>
  <si>
    <t>上海中融置业集团有限公司</t>
  </si>
  <si>
    <t>奉贤南桥新城14单元10A-04A区域地块</t>
  </si>
  <si>
    <t>济南阳光壹佰房地产开发有限公司</t>
  </si>
  <si>
    <t>奉贤南桥新城15单元19A-05A区域地块</t>
  </si>
  <si>
    <t>上海城申置业有限公司</t>
  </si>
  <si>
    <t>奉贤区南桥新城14单元09A-02A区域地块</t>
  </si>
  <si>
    <t>2017-09-18</t>
  </si>
  <si>
    <t>上海亚通置业发展有限公司</t>
  </si>
  <si>
    <t>奉贤区南桥新城04单元15B-06区域地块</t>
  </si>
  <si>
    <t>综合用地(含住宅)</t>
  </si>
  <si>
    <t>2017-09-08</t>
  </si>
  <si>
    <t>上海尧乾置业有限公司(山东黄金)</t>
  </si>
  <si>
    <t>奉贤区海湾镇13-02区域地块</t>
  </si>
  <si>
    <t>招标</t>
  </si>
  <si>
    <t>增城市碧桂园物业发展有限公司(碧桂园)</t>
  </si>
  <si>
    <t>临港奉贤园区二期04FX-0002单元B0801地块</t>
  </si>
  <si>
    <t>2017-09-07</t>
  </si>
  <si>
    <t>上海保利建锦房地产有限公司(保利)</t>
  </si>
  <si>
    <t>奉贤区南桥新城18单元06-D-01区域地块</t>
  </si>
  <si>
    <t>2017-08-31</t>
  </si>
  <si>
    <t>上海煦臻企业管理有限公司(华润置地)</t>
  </si>
  <si>
    <t>奉贤区奉城镇57-05区域地块</t>
  </si>
  <si>
    <t>2017-05-26</t>
  </si>
  <si>
    <t>中海地产集团有限公司</t>
  </si>
  <si>
    <t>奉贤区金汇镇21-02、22-01区域地块</t>
  </si>
  <si>
    <t>2017-05-10</t>
  </si>
  <si>
    <t>上海高屋置业有限公司</t>
  </si>
  <si>
    <t>奉贤区南桥新城18单元12-01区域地块(&amp;quot;城中村&amp;quot;改造项目-肖塘地区)</t>
  </si>
  <si>
    <t>2017-01-19</t>
  </si>
  <si>
    <t>上海肖塘投资发展有限公司</t>
  </si>
  <si>
    <t>奉贤区南桥新城18单元02-10区域地块(&amp;quot;城中村&amp;quot;改造项目-肖塘地区)</t>
  </si>
  <si>
    <t>临港奉贤园区二期04FX-0002单元B0204地块</t>
  </si>
  <si>
    <t>2016-12-27</t>
  </si>
  <si>
    <t>碧桂园</t>
  </si>
  <si>
    <t>临港奉贤园区二期04FX-0002单元B0701地块</t>
  </si>
  <si>
    <t>奉贤区柘林镇04-01区域地块</t>
  </si>
  <si>
    <t>2016-12-21</t>
  </si>
  <si>
    <t>绿地</t>
  </si>
  <si>
    <t>奉贤区南桥新城14单元14A-01A区域地块</t>
  </si>
  <si>
    <t>2016-10-10</t>
  </si>
  <si>
    <t>奉贤区南桥新城14单元15A-02A区域地块</t>
  </si>
  <si>
    <t>奉贤区南桥新城13单元03A-03A区域地块</t>
  </si>
  <si>
    <t>2016-09-21</t>
  </si>
  <si>
    <t>上海北蔡房地产发展有限公司</t>
  </si>
  <si>
    <t>奉贤区南桥新城15单元28A-03A区域地块</t>
  </si>
  <si>
    <t>奉贤区南桥新城12单元05A-01A区域地块</t>
  </si>
  <si>
    <t>2016-09-08</t>
  </si>
  <si>
    <t>上海建都房地产开发有限公司</t>
  </si>
  <si>
    <t>奉贤区南桥新城10单元01D-03区域地块</t>
  </si>
  <si>
    <t>2016-06-30</t>
  </si>
  <si>
    <t>奉贤区南桥新城15单元23A-01A区域地块</t>
  </si>
  <si>
    <t>上海云间房地产开发有限公司、上海聚畅投资有限公司</t>
  </si>
  <si>
    <t>奉贤区南桥新城18单元11-01区域地块(“城中村”改造项目-肖塘地区)</t>
  </si>
  <si>
    <t>2016-06-12</t>
  </si>
  <si>
    <t>奉贤区南桥新城16单元36-03区域地块</t>
  </si>
  <si>
    <t>2016-05-11</t>
  </si>
  <si>
    <t>上海象屿投资有限公司、上海新谱管理咨询有限公司</t>
  </si>
  <si>
    <t>奉贤区南桥新城11单元C03-03区域地块</t>
  </si>
  <si>
    <t>2015-12-30</t>
  </si>
  <si>
    <t>奉贤区海港综合开发区55-01区域地块</t>
  </si>
  <si>
    <t>上海港通房地产发展有限公司</t>
  </si>
  <si>
    <t>奉贤区海港综合开发区61-07区域地块</t>
  </si>
  <si>
    <t>奉贤区南桥新城16单元32-04区域地块</t>
  </si>
  <si>
    <t>2015-12-23</t>
  </si>
  <si>
    <t>上海之方实业有限公司、深圳市平庆投资管理有限公司、上海碧荣投资管理有限公司</t>
  </si>
  <si>
    <t>临港奉贤园区二期04FX-0002单元B0601地块</t>
  </si>
  <si>
    <t>2015-12-21</t>
  </si>
  <si>
    <t>上海临港奉贤经济发展有限公司</t>
  </si>
  <si>
    <t>临港奉贤园区二期04FX-0002单元B0301、B0401地块</t>
  </si>
  <si>
    <t>b0301地块2.5,b0401地块1.6</t>
  </si>
  <si>
    <t>临港奉贤园区二期04FX-0002单元B0501地块</t>
  </si>
  <si>
    <t>奉贤区南桥镇D-01-13区域地块</t>
  </si>
  <si>
    <t>2015-12-17</t>
  </si>
  <si>
    <t>中铁房地产集团上海置业有限公司</t>
  </si>
  <si>
    <t>奉贤区南桥新城13单元31A-04A区域地块</t>
  </si>
  <si>
    <t>上海碧荣投资管理有限公司</t>
  </si>
  <si>
    <t>奉贤区南桥新城15单元05A-02A区域地块</t>
  </si>
  <si>
    <t>2015-11-06</t>
  </si>
  <si>
    <t>禹洲文化创意发展有限公司、厦门舜润贸易有限公司</t>
  </si>
  <si>
    <t>奉贤区南桥新城12单元10A-01A区域地块</t>
  </si>
  <si>
    <t>2015-10-14</t>
  </si>
  <si>
    <t>江苏中南建设集团股份有限公司</t>
  </si>
  <si>
    <t>奉贤区奉城镇01-02(二期南块)区域地块</t>
  </si>
  <si>
    <t>2015-10-08</t>
  </si>
  <si>
    <t>杭州市城建开发集团有限公司</t>
  </si>
  <si>
    <t>奉贤区南桥新城16单元24-03、25-04区域地块</t>
  </si>
  <si>
    <t>奉贤区南桥新城02单元03-02区域地块</t>
  </si>
  <si>
    <t>2015-09-07</t>
  </si>
  <si>
    <t>上海业晟置业有限公司</t>
  </si>
  <si>
    <t>奉贤区南桥新城04单元04-01(2)区域地块</t>
  </si>
  <si>
    <t>2015-06-29</t>
  </si>
  <si>
    <t>上海新邦置地有限公司</t>
  </si>
  <si>
    <t>奉贤区四团镇48-05区域地块</t>
  </si>
  <si>
    <t>2015-06-01</t>
  </si>
  <si>
    <t>上海建灏置业有限公司</t>
  </si>
  <si>
    <t>奉贤区四团镇37-02区域地块</t>
  </si>
  <si>
    <t>2015-04-13</t>
  </si>
  <si>
    <t>上海四团城镇建设投资有限公司</t>
  </si>
  <si>
    <t>起始楼面价</t>
    <phoneticPr fontId="233" type="noConversion"/>
  </si>
  <si>
    <t>奉贤区柘林镇02-01区域地块</t>
    <phoneticPr fontId="233" type="noConversion"/>
  </si>
  <si>
    <t>正常</t>
  </si>
  <si>
    <t>一般</t>
  </si>
  <si>
    <t>较好</t>
  </si>
  <si>
    <t>楼面地价</t>
  </si>
  <si>
    <t>好</t>
  </si>
  <si>
    <t>剩余法-待开发</t>
  </si>
  <si>
    <t>比较法-住宅、综合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</si>
</sst>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285" fillId="0" borderId="0" xfId="0" applyFont="1" applyAlignment="1">
      <alignment horizontal="center" vertical="center" wrapText="1"/>
    </xf>
    <xf numFmtId="0" fontId="285" fillId="0" borderId="0" xfId="0" applyFont="1" applyAlignment="1">
      <alignment horizontal="center"/>
    </xf>
    <xf numFmtId="0" fontId="285" fillId="9" borderId="0" xfId="0" applyFont="1" applyFill="1" applyAlignment="1">
      <alignment horizont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19978;&#28023;&#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2985</v>
      </c>
      <c r="B1" s="3182"/>
      <c r="C1" s="3183"/>
      <c r="D1" s="3184"/>
      <c r="E1" s="3185" t="s">
        <v>2986</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2987</v>
      </c>
      <c r="B2" s="3194" t="e">
        <f ca="1">ROUND(D2/10000,0)</f>
        <v>#DIV/0!</v>
      </c>
      <c r="C2" s="3195" t="s">
        <v>2988</v>
      </c>
      <c r="D2" s="3196" t="e">
        <f ca="1">C40+J29+L46</f>
        <v>#DIV/0!</v>
      </c>
      <c r="E2" s="3197" t="s">
        <v>2989</v>
      </c>
      <c r="F2" s="3198"/>
      <c r="G2" s="3199"/>
      <c r="H2" s="3200"/>
      <c r="I2" s="3200"/>
      <c r="J2" s="3200"/>
      <c r="K2" s="3201"/>
      <c r="L2" s="3200"/>
      <c r="M2" s="3200"/>
    </row>
    <row r="3" spans="1:37" ht="18" customHeight="1" thickBot="1">
      <c r="A3" s="3204" t="s">
        <v>2990</v>
      </c>
      <c r="B3" s="3205">
        <f ca="1">IF(ISERROR(D2/F43),0,ROUND(D2/F43,0))</f>
        <v>0</v>
      </c>
      <c r="C3" s="3195" t="s">
        <v>2991</v>
      </c>
      <c r="D3" s="3195"/>
      <c r="E3" s="3197"/>
      <c r="F3" s="3198"/>
      <c r="G3" s="3199"/>
      <c r="H3" s="3206" t="s">
        <v>2992</v>
      </c>
      <c r="I3" s="3200"/>
      <c r="J3" s="3200"/>
      <c r="K3" s="3201"/>
      <c r="L3" s="3200"/>
      <c r="M3" s="3200"/>
    </row>
    <row r="4" spans="1:37" ht="18" customHeight="1">
      <c r="A4" s="3207" t="s">
        <v>2993</v>
      </c>
      <c r="B4" s="3208" t="s">
        <v>2994</v>
      </c>
      <c r="C4" s="3208" t="s">
        <v>2995</v>
      </c>
      <c r="D4" s="3208" t="s">
        <v>2996</v>
      </c>
      <c r="E4" s="3209" t="s">
        <v>2997</v>
      </c>
      <c r="F4" s="3210"/>
      <c r="G4" s="3211"/>
      <c r="H4" s="3207" t="s">
        <v>2998</v>
      </c>
      <c r="I4" s="3208" t="s">
        <v>2999</v>
      </c>
      <c r="J4" s="3208" t="s">
        <v>3000</v>
      </c>
      <c r="K4" s="3208" t="s">
        <v>3001</v>
      </c>
      <c r="L4" s="3209" t="s">
        <v>2997</v>
      </c>
      <c r="M4" s="3210"/>
    </row>
    <row r="5" spans="1:37" ht="18" customHeight="1">
      <c r="A5" s="3212">
        <v>1</v>
      </c>
      <c r="B5" s="3213" t="s">
        <v>3002</v>
      </c>
      <c r="C5" s="3214">
        <f ca="1">C6+C10+C12</f>
        <v>0</v>
      </c>
      <c r="D5" s="3215" t="s">
        <v>3003</v>
      </c>
      <c r="E5" s="3216"/>
      <c r="F5" s="3217"/>
      <c r="G5" s="3211"/>
      <c r="H5" s="3212">
        <v>1</v>
      </c>
      <c r="I5" s="3213" t="s">
        <v>3002</v>
      </c>
      <c r="J5" s="3214">
        <f ca="1">J6+J10+J12</f>
        <v>0</v>
      </c>
      <c r="K5" s="3215" t="s">
        <v>3003</v>
      </c>
      <c r="L5" s="3216"/>
      <c r="M5" s="3217"/>
    </row>
    <row r="6" spans="1:37" ht="18" customHeight="1">
      <c r="A6" s="3218" t="s">
        <v>3004</v>
      </c>
      <c r="B6" s="3482" t="s">
        <v>3005</v>
      </c>
      <c r="C6" s="3219">
        <f ca="1">ROUND(F6*F8*F7*(1-F9),0)</f>
        <v>0</v>
      </c>
      <c r="D6" s="3220" t="s">
        <v>3006</v>
      </c>
      <c r="E6" s="3221" t="s">
        <v>3007</v>
      </c>
      <c r="F6" s="3222">
        <f ca="1">INDIRECT("'数据-取费表'!u"&amp;$G$1)</f>
        <v>0</v>
      </c>
      <c r="G6" s="3211"/>
      <c r="H6" s="3218" t="s">
        <v>3004</v>
      </c>
      <c r="I6" s="3482" t="s">
        <v>3005</v>
      </c>
      <c r="J6" s="3223">
        <f ca="1">ROUND(M6*M8*M7*(1-M9),0)</f>
        <v>0</v>
      </c>
      <c r="K6" s="3224" t="s">
        <v>3008</v>
      </c>
      <c r="L6" s="3221" t="s">
        <v>3007</v>
      </c>
      <c r="M6" s="3222">
        <f ca="1">INDIRECT("'数据-取费表'!z"&amp;$G$1)</f>
        <v>0</v>
      </c>
    </row>
    <row r="7" spans="1:37" ht="18" customHeight="1">
      <c r="A7" s="3225"/>
      <c r="B7" s="3483"/>
      <c r="C7" s="3226"/>
      <c r="D7" s="3227"/>
      <c r="E7" s="3228" t="s">
        <v>3009</v>
      </c>
      <c r="F7" s="3222">
        <f ca="1">IF(INDIRECT("'数据-取费表'!ah"&amp;$G$1)="",INDIRECT("'数据-取费表'!k"&amp;$G$1),INDIRECT("'数据-取费表'!ah"&amp;$G$1))</f>
        <v>87282</v>
      </c>
      <c r="G7" s="3211"/>
      <c r="H7" s="3229"/>
      <c r="I7" s="3483"/>
      <c r="J7" s="3230"/>
      <c r="K7" s="3227"/>
      <c r="L7" s="3221" t="s">
        <v>3009</v>
      </c>
      <c r="M7" s="3222">
        <f ca="1">F7</f>
        <v>87282</v>
      </c>
    </row>
    <row r="8" spans="1:37" ht="18" customHeight="1">
      <c r="A8" s="3229"/>
      <c r="B8" s="3483"/>
      <c r="C8" s="3230"/>
      <c r="D8" s="3227"/>
      <c r="E8" s="3221" t="s">
        <v>3010</v>
      </c>
      <c r="F8" s="3222">
        <f ca="1">INDIRECT("'数据-取费表'!ai"&amp;$G$1)</f>
        <v>0</v>
      </c>
      <c r="G8" s="3211"/>
      <c r="H8" s="3229"/>
      <c r="I8" s="3483"/>
      <c r="J8" s="3230"/>
      <c r="K8" s="3227"/>
      <c r="L8" s="3221" t="s">
        <v>3010</v>
      </c>
      <c r="M8" s="3222">
        <f ca="1">INDIRECT("'数据-取费表'!ai"&amp;$G$1)</f>
        <v>0</v>
      </c>
    </row>
    <row r="9" spans="1:37" ht="18" customHeight="1">
      <c r="A9" s="3229"/>
      <c r="B9" s="3484"/>
      <c r="C9" s="3230"/>
      <c r="D9" s="3227"/>
      <c r="E9" s="3221" t="s">
        <v>3011</v>
      </c>
      <c r="F9" s="3231">
        <f ca="1">INDIRECT("'数据-取费表'!w"&amp;$G$1)</f>
        <v>0</v>
      </c>
      <c r="G9" s="3211"/>
      <c r="H9" s="3229"/>
      <c r="I9" s="3484"/>
      <c r="J9" s="3230"/>
      <c r="K9" s="3227"/>
      <c r="L9" s="3232" t="s">
        <v>3011</v>
      </c>
      <c r="M9" s="3233">
        <f ca="1">INDIRECT("'数据-取费表'!ab"&amp;$G$1)</f>
        <v>0</v>
      </c>
    </row>
    <row r="10" spans="1:37" ht="18" customHeight="1">
      <c r="A10" s="3218" t="s">
        <v>3012</v>
      </c>
      <c r="B10" s="3234" t="s">
        <v>3013</v>
      </c>
      <c r="C10" s="3235">
        <f>ROUND(IF(F10="押一",F6*F8*F7/12*F11,IF(F10="押二",F6*F8*F7/12*2*F11,IF(F10="押三",F6*F8*F7/12*3*F11,C11*F11))),0)</f>
        <v>0</v>
      </c>
      <c r="D10" s="3236" t="s">
        <v>3014</v>
      </c>
      <c r="E10" s="3232" t="s">
        <v>3015</v>
      </c>
      <c r="F10" s="3237"/>
      <c r="G10" s="3211"/>
      <c r="H10" s="3218" t="s">
        <v>3012</v>
      </c>
      <c r="I10" s="3234" t="s">
        <v>3013</v>
      </c>
      <c r="J10" s="3223">
        <f>ROUND(IF(M10="押一",M6*M8*M7/12*M11,IF(M10="押二",M6*M8*M7/12*2*M11,IF(M10="押三",M6*M8*M7/12*3*M11,J11*M11))),0)</f>
        <v>0</v>
      </c>
      <c r="K10" s="3238" t="s">
        <v>3016</v>
      </c>
      <c r="L10" s="3232" t="s">
        <v>3015</v>
      </c>
      <c r="M10" s="3237"/>
    </row>
    <row r="11" spans="1:37" ht="18" customHeight="1">
      <c r="A11" s="3239"/>
      <c r="B11" s="3240" t="s">
        <v>3017</v>
      </c>
      <c r="C11" s="3241"/>
      <c r="D11" s="3227"/>
      <c r="E11" s="3232" t="s">
        <v>3018</v>
      </c>
      <c r="F11" s="3233">
        <f>'[1]数据-取费表'!B39</f>
        <v>0</v>
      </c>
      <c r="G11" s="3211"/>
      <c r="H11" s="3242"/>
      <c r="I11" s="3240" t="s">
        <v>3019</v>
      </c>
      <c r="J11" s="3241"/>
      <c r="K11" s="3243"/>
      <c r="L11" s="3232" t="s">
        <v>3018</v>
      </c>
      <c r="M11" s="3244">
        <f>'[1]数据-取费表'!B39</f>
        <v>0</v>
      </c>
    </row>
    <row r="12" spans="1:37" ht="18" customHeight="1" thickBot="1">
      <c r="A12" s="3245" t="s">
        <v>3020</v>
      </c>
      <c r="B12" s="3246" t="s">
        <v>3021</v>
      </c>
      <c r="C12" s="3247"/>
      <c r="D12" s="3248"/>
      <c r="E12" s="3249"/>
      <c r="F12" s="3250"/>
      <c r="G12" s="3211"/>
      <c r="H12" s="3245" t="s">
        <v>3020</v>
      </c>
      <c r="I12" s="3246" t="s">
        <v>3021</v>
      </c>
      <c r="J12" s="3247"/>
      <c r="K12" s="3251"/>
      <c r="L12" s="3249"/>
      <c r="M12" s="3252"/>
    </row>
    <row r="13" spans="1:37" ht="18" customHeight="1" thickTop="1">
      <c r="A13" s="3253">
        <v>2</v>
      </c>
      <c r="B13" s="3254" t="s">
        <v>3022</v>
      </c>
      <c r="C13" s="3255">
        <f ca="1">ROUND(C29*F13,0)</f>
        <v>0</v>
      </c>
      <c r="D13" s="3256" t="s">
        <v>3023</v>
      </c>
      <c r="E13" s="3256" t="s">
        <v>3024</v>
      </c>
      <c r="F13" s="3257">
        <f ca="1">INDIRECT("'数据-取费表'!y"&amp;$G$1)</f>
        <v>0</v>
      </c>
      <c r="G13" s="3211"/>
      <c r="H13" s="3253">
        <v>2</v>
      </c>
      <c r="I13" s="3254" t="s">
        <v>3022</v>
      </c>
      <c r="J13" s="3258">
        <f ca="1">ROUND(J14*J15,0)</f>
        <v>0</v>
      </c>
      <c r="K13" s="3259" t="s">
        <v>3023</v>
      </c>
      <c r="L13" s="3260"/>
      <c r="M13" s="3261"/>
    </row>
    <row r="14" spans="1:37" ht="18" customHeight="1">
      <c r="A14" s="3262" t="s">
        <v>3025</v>
      </c>
      <c r="B14" s="3221" t="s">
        <v>3026</v>
      </c>
      <c r="C14" s="3263">
        <f ca="1">ROUND(INDIRECT("'数据-取费表'!l"&amp;$G$1)*F43+'[1]数据-取费表'!L14*INDIRECT("'数据-取费表'!S"&amp;$G$1),0)</f>
        <v>218205000</v>
      </c>
      <c r="D14" s="3264" t="s">
        <v>3027</v>
      </c>
      <c r="E14" s="3265"/>
      <c r="F14" s="3266"/>
      <c r="G14" s="3211"/>
      <c r="H14" s="3262" t="s">
        <v>3028</v>
      </c>
      <c r="I14" s="3221" t="s">
        <v>3029</v>
      </c>
      <c r="J14" s="3267">
        <f ca="1">C29</f>
        <v>250935750</v>
      </c>
      <c r="K14" s="3268"/>
      <c r="L14" s="3269"/>
      <c r="M14" s="3270"/>
    </row>
    <row r="15" spans="1:37" s="3279" customFormat="1" ht="18" customHeight="1" thickBot="1">
      <c r="A15" s="3262" t="s">
        <v>3030</v>
      </c>
      <c r="B15" s="3221" t="s">
        <v>3031</v>
      </c>
      <c r="C15" s="3267">
        <f ca="1">ROUND(C14*F15,0)</f>
        <v>0</v>
      </c>
      <c r="D15" s="3271" t="s">
        <v>3032</v>
      </c>
      <c r="E15" s="3271" t="s">
        <v>3033</v>
      </c>
      <c r="F15" s="3272">
        <f>'[1]数据-取费表'!B33</f>
        <v>0</v>
      </c>
      <c r="G15" s="3273"/>
      <c r="H15" s="3274" t="s">
        <v>3012</v>
      </c>
      <c r="I15" s="3249" t="s">
        <v>3024</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3034</v>
      </c>
      <c r="B16" s="3221" t="s">
        <v>3035</v>
      </c>
      <c r="C16" s="3267">
        <f ca="1">ROUND(INDIRECT("'数据-取费表'!l"&amp;$G$1)*F43*F16,0)</f>
        <v>0</v>
      </c>
      <c r="D16" s="3221" t="s">
        <v>3036</v>
      </c>
      <c r="E16" s="3221" t="s">
        <v>3037</v>
      </c>
      <c r="F16" s="3280">
        <f ca="1">IF(INDIRECT("'数据-取费表'!c"&amp;$G$1)="住宅",'[1]数据-取费表'!B34,0)</f>
        <v>0</v>
      </c>
      <c r="G16" s="3211"/>
      <c r="H16" s="3253" t="s">
        <v>3038</v>
      </c>
      <c r="I16" s="3254" t="s">
        <v>3039</v>
      </c>
      <c r="J16" s="3255">
        <f ca="1">ROUND(J17+J22+J23+J24,0)</f>
        <v>2107860</v>
      </c>
      <c r="K16" s="3259" t="s">
        <v>3040</v>
      </c>
      <c r="L16" s="3281"/>
      <c r="M16" s="3217"/>
    </row>
    <row r="17" spans="1:37" s="3279" customFormat="1" ht="18" customHeight="1">
      <c r="A17" s="3262" t="s">
        <v>3041</v>
      </c>
      <c r="B17" s="3221" t="s">
        <v>3042</v>
      </c>
      <c r="C17" s="3267">
        <f ca="1">ROUND(F17*(F43+INDIRECT("'数据-取费表'!S"&amp;$G$1)),0)</f>
        <v>0</v>
      </c>
      <c r="D17" s="3221" t="s">
        <v>3043</v>
      </c>
      <c r="E17" s="3221" t="s">
        <v>3044</v>
      </c>
      <c r="F17" s="3282">
        <f>'[1]数据-取费表'!B35</f>
        <v>0</v>
      </c>
      <c r="G17" s="3273"/>
      <c r="H17" s="3262" t="s">
        <v>3004</v>
      </c>
      <c r="I17" s="3221" t="s">
        <v>3045</v>
      </c>
      <c r="J17" s="3267">
        <f ca="1">ROUND(IF([1]项目基本情况!B11="自然人",J5*M17,J18+J19+J20),0)</f>
        <v>2107860</v>
      </c>
      <c r="K17" s="3264" t="s">
        <v>3046</v>
      </c>
      <c r="L17" s="3283" t="s">
        <v>3047</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3048</v>
      </c>
      <c r="B18" s="3221" t="s">
        <v>3049</v>
      </c>
      <c r="C18" s="3267">
        <f ca="1">ROUND(C14*F18,0)</f>
        <v>0</v>
      </c>
      <c r="D18" s="3221" t="s">
        <v>3032</v>
      </c>
      <c r="E18" s="3221" t="s">
        <v>3033</v>
      </c>
      <c r="F18" s="3280">
        <f>'[1]数据-取费表'!B36</f>
        <v>0</v>
      </c>
      <c r="G18" s="3273"/>
      <c r="H18" s="3262" t="s">
        <v>3025</v>
      </c>
      <c r="I18" s="3221" t="s">
        <v>3050</v>
      </c>
      <c r="J18" s="3267">
        <f ca="1">ROUND(J5*M18/(1+'[1]数据-取费表'!C42),0)</f>
        <v>0</v>
      </c>
      <c r="K18" s="3283" t="s">
        <v>3051</v>
      </c>
      <c r="L18" s="3221" t="s">
        <v>3037</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3028</v>
      </c>
      <c r="B19" s="3221" t="s">
        <v>3052</v>
      </c>
      <c r="C19" s="3267">
        <f ca="1">SUM(C14:C18)</f>
        <v>218205000</v>
      </c>
      <c r="D19" s="3285" t="s">
        <v>3053</v>
      </c>
      <c r="E19" s="3286"/>
      <c r="F19" s="3282"/>
      <c r="G19" s="3211"/>
      <c r="H19" s="3262" t="s">
        <v>3030</v>
      </c>
      <c r="I19" s="3221" t="s">
        <v>3054</v>
      </c>
      <c r="J19" s="3267">
        <f ca="1">IF(K19="按租金收入计税",ROUND(J5*M19,0),ROUND(C29*M19*0.7,0))</f>
        <v>2107860</v>
      </c>
      <c r="K19" s="3287" t="s">
        <v>3055</v>
      </c>
      <c r="L19" s="3221" t="s">
        <v>3033</v>
      </c>
      <c r="M19" s="3280">
        <f>IF(K19="按租金收入计税",'[1]数据-取费表'!B51,'[1]数据-取费表'!B50)</f>
        <v>1.2E-2</v>
      </c>
    </row>
    <row r="20" spans="1:37" s="3279" customFormat="1" ht="18" customHeight="1">
      <c r="A20" s="3262" t="s">
        <v>3012</v>
      </c>
      <c r="B20" s="3221" t="s">
        <v>3056</v>
      </c>
      <c r="C20" s="3267">
        <f ca="1">ROUND(C19*F20,0)</f>
        <v>0</v>
      </c>
      <c r="D20" s="3288" t="s">
        <v>3057</v>
      </c>
      <c r="E20" s="3221" t="s">
        <v>3033</v>
      </c>
      <c r="F20" s="3280">
        <f>'[1]数据-取费表'!B37</f>
        <v>0</v>
      </c>
      <c r="G20" s="3273"/>
      <c r="H20" s="3262" t="s">
        <v>3034</v>
      </c>
      <c r="I20" s="3220" t="s">
        <v>3058</v>
      </c>
      <c r="J20" s="3289">
        <f ca="1">ROUND(M20*M21,0)</f>
        <v>0</v>
      </c>
      <c r="K20" s="3290" t="s">
        <v>3059</v>
      </c>
      <c r="L20" s="3221" t="s">
        <v>3060</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3020</v>
      </c>
      <c r="B21" s="3221" t="s">
        <v>3061</v>
      </c>
      <c r="C21" s="3267" t="s">
        <v>3062</v>
      </c>
      <c r="D21" s="3288" t="s">
        <v>3063</v>
      </c>
      <c r="E21" s="3221" t="s">
        <v>3064</v>
      </c>
      <c r="F21" s="3280">
        <f>'[1]数据-取费表'!B38</f>
        <v>0</v>
      </c>
      <c r="G21" s="3273"/>
      <c r="H21" s="3292"/>
      <c r="I21" s="3293"/>
      <c r="J21" s="3294"/>
      <c r="K21" s="3295"/>
      <c r="L21" s="3221" t="s">
        <v>3065</v>
      </c>
      <c r="M21" s="3222">
        <f ca="1">INDIRECT("'数据-取费表'!r"&amp;$G$1)</f>
        <v>72735</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3066</v>
      </c>
      <c r="B22" s="3221" t="s">
        <v>3067</v>
      </c>
      <c r="C22" s="3267"/>
      <c r="D22" s="3285" t="str">
        <f>IF(F23&lt;=1,"单利计息。","复利计息。")&amp;"建造成本、管理费用、销售费用产生的利息。"</f>
        <v>单利计息。建造成本、管理费用、销售费用产生的利息。</v>
      </c>
      <c r="E22" s="3286"/>
      <c r="F22" s="3282"/>
      <c r="G22" s="3211"/>
      <c r="H22" s="3262" t="s">
        <v>3012</v>
      </c>
      <c r="I22" s="3221" t="s">
        <v>3068</v>
      </c>
      <c r="J22" s="3267">
        <f ca="1">ROUND(J14*M22,0)</f>
        <v>0</v>
      </c>
      <c r="K22" s="3283" t="s">
        <v>3069</v>
      </c>
      <c r="L22" s="3221" t="s">
        <v>3033</v>
      </c>
      <c r="M22" s="3296">
        <f ca="1">INDIRECT("'数据-取费表'!Ak"&amp;$G$1)</f>
        <v>0</v>
      </c>
    </row>
    <row r="23" spans="1:37" s="3279" customFormat="1" ht="18" customHeight="1">
      <c r="A23" s="3262" t="s">
        <v>3025</v>
      </c>
      <c r="B23" s="3221" t="s">
        <v>3070</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3071</v>
      </c>
      <c r="F23" s="3291">
        <f>'[1]数据-取费表'!B20</f>
        <v>0</v>
      </c>
      <c r="G23" s="3273"/>
      <c r="H23" s="3262" t="s">
        <v>3020</v>
      </c>
      <c r="I23" s="3221" t="s">
        <v>3072</v>
      </c>
      <c r="J23" s="3267">
        <f ca="1">ROUND(J13*M23,0)</f>
        <v>0</v>
      </c>
      <c r="K23" s="3283" t="s">
        <v>3073</v>
      </c>
      <c r="L23" s="3221" t="s">
        <v>3033</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3074</v>
      </c>
      <c r="B24" s="3221" t="s">
        <v>3075</v>
      </c>
      <c r="C24" s="3267">
        <f>ROUND(IF('[1]数据-取费表'!B22&lt;=1,F21*F24*F23/2,F21*(POWER((1+F24),F23/2)-1)),4)</f>
        <v>0</v>
      </c>
      <c r="D24" s="3297" t="str">
        <f>IF(F23&lt;=1,"销售费用×利率×(建设周期÷2)","销售费用×((1+利率)^(建设周期÷2)-1)")</f>
        <v>销售费用×利率×(建设周期÷2)</v>
      </c>
      <c r="E24" s="3221" t="s">
        <v>3076</v>
      </c>
      <c r="F24" s="3299">
        <f>'[1]数据-取费表'!B40</f>
        <v>0</v>
      </c>
      <c r="G24" s="3273"/>
      <c r="H24" s="3274" t="s">
        <v>3066</v>
      </c>
      <c r="I24" s="3249" t="s">
        <v>3056</v>
      </c>
      <c r="J24" s="3300">
        <f ca="1">ROUND(J5*M24,0)</f>
        <v>0</v>
      </c>
      <c r="K24" s="3301" t="s">
        <v>3077</v>
      </c>
      <c r="L24" s="3249" t="s">
        <v>3033</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3078</v>
      </c>
      <c r="B25" s="3221" t="s">
        <v>3079</v>
      </c>
      <c r="C25" s="3267"/>
      <c r="D25" s="3285" t="s">
        <v>3080</v>
      </c>
      <c r="E25" s="3286"/>
      <c r="F25" s="3282"/>
      <c r="G25" s="3211"/>
      <c r="H25" s="3253" t="s">
        <v>3081</v>
      </c>
      <c r="I25" s="3302" t="s">
        <v>3082</v>
      </c>
      <c r="J25" s="3255">
        <f ca="1">J5-J16</f>
        <v>-2107860</v>
      </c>
      <c r="K25" s="3303" t="s">
        <v>3083</v>
      </c>
      <c r="L25" s="3304"/>
      <c r="M25" s="3305"/>
    </row>
    <row r="26" spans="1:37" ht="18" customHeight="1">
      <c r="A26" s="3262" t="s">
        <v>3025</v>
      </c>
      <c r="B26" s="3221" t="s">
        <v>3084</v>
      </c>
      <c r="C26" s="3267">
        <f ca="1">ROUND((C19+C20)*F26,0)</f>
        <v>32730750</v>
      </c>
      <c r="D26" s="3288" t="s">
        <v>3085</v>
      </c>
      <c r="E26" s="3232" t="s">
        <v>3086</v>
      </c>
      <c r="F26" s="3231">
        <f ca="1">INDIRECT("'数据-取费表'!q"&amp;$G$1)</f>
        <v>0.15</v>
      </c>
      <c r="G26" s="3211"/>
      <c r="H26" s="3212" t="s">
        <v>3087</v>
      </c>
      <c r="I26" s="3213" t="s">
        <v>3088</v>
      </c>
      <c r="J26" s="3223">
        <f ca="1">IF(J5&lt;&gt;0,ROUND(J25*(1-((1+M28)/(1+M26))^M27)/(M26-M28),0),0)</f>
        <v>0</v>
      </c>
      <c r="K26" s="3290" t="s">
        <v>3089</v>
      </c>
      <c r="L26" s="3221" t="s">
        <v>3090</v>
      </c>
      <c r="M26" s="3231">
        <f ca="1">INDIRECT("'数据-取费表'!I"&amp;$G$1)</f>
        <v>4.4999999999999998E-2</v>
      </c>
    </row>
    <row r="27" spans="1:37" ht="18" customHeight="1">
      <c r="A27" s="3262" t="s">
        <v>3074</v>
      </c>
      <c r="B27" s="3221" t="s">
        <v>3091</v>
      </c>
      <c r="C27" s="3267">
        <f ca="1">ROUND(F21*F26,4)</f>
        <v>0</v>
      </c>
      <c r="D27" s="3288" t="s">
        <v>3092</v>
      </c>
      <c r="E27" s="3271"/>
      <c r="F27" s="3272"/>
      <c r="G27" s="3211"/>
      <c r="H27" s="3229"/>
      <c r="I27" s="3306"/>
      <c r="J27" s="3230"/>
      <c r="K27" s="3307" t="s">
        <v>3093</v>
      </c>
      <c r="L27" s="3221" t="s">
        <v>3094</v>
      </c>
      <c r="M27" s="3308">
        <f ca="1">INDIRECT("'数据-取费表'!ag"&amp;$G$1)</f>
        <v>0</v>
      </c>
    </row>
    <row r="28" spans="1:37" s="3279" customFormat="1" ht="18" customHeight="1">
      <c r="A28" s="3262" t="s">
        <v>3095</v>
      </c>
      <c r="B28" s="3221" t="s">
        <v>3096</v>
      </c>
      <c r="C28" s="3267">
        <f>ROUND(F28/(1+'[1]数据-取费表'!C42),4)</f>
        <v>0</v>
      </c>
      <c r="D28" s="3288" t="s">
        <v>3097</v>
      </c>
      <c r="E28" s="3221" t="s">
        <v>3033</v>
      </c>
      <c r="F28" s="3280">
        <f>'[1]数据-取费表'!B41</f>
        <v>0</v>
      </c>
      <c r="G28" s="3273"/>
      <c r="H28" s="3239"/>
      <c r="I28" s="3309"/>
      <c r="J28" s="3255"/>
      <c r="K28" s="3295"/>
      <c r="L28" s="3221" t="s">
        <v>3098</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3099</v>
      </c>
      <c r="B29" s="3249" t="s">
        <v>3100</v>
      </c>
      <c r="C29" s="3300">
        <f ca="1">ROUND((C19+C20+C23+C26)/(1-F21-C24-C27-C28),0)</f>
        <v>250935750</v>
      </c>
      <c r="D29" s="3301"/>
      <c r="E29" s="3249"/>
      <c r="F29" s="3310"/>
      <c r="G29" s="3273"/>
      <c r="H29" s="3311" t="s">
        <v>3101</v>
      </c>
      <c r="I29" s="3312" t="s">
        <v>3102</v>
      </c>
      <c r="J29" s="3313">
        <f ca="1">ROUND(J26/(1+F40)^F41,0)</f>
        <v>0</v>
      </c>
      <c r="K29" s="3314" t="s">
        <v>3103</v>
      </c>
      <c r="L29" s="3315"/>
      <c r="M29" s="3316">
        <f ca="1">INDIRECT("'数据-取费表'!k"&amp;$G$1)</f>
        <v>87282</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3104</v>
      </c>
      <c r="B30" s="3254" t="s">
        <v>3039</v>
      </c>
      <c r="C30" s="3255">
        <f ca="1">ROUND(C31+C36+C37+C38,0)</f>
        <v>2107860</v>
      </c>
      <c r="D30" s="3259" t="s">
        <v>3040</v>
      </c>
      <c r="E30" s="3281"/>
      <c r="F30" s="3217"/>
      <c r="G30" s="3211"/>
      <c r="H30" s="3317"/>
      <c r="I30" s="3318"/>
      <c r="J30" s="3319"/>
      <c r="K30" s="3243"/>
      <c r="L30" s="3320"/>
      <c r="M30" s="3321"/>
    </row>
    <row r="31" spans="1:37" ht="18" customHeight="1">
      <c r="A31" s="3262" t="s">
        <v>3004</v>
      </c>
      <c r="B31" s="3221" t="s">
        <v>3045</v>
      </c>
      <c r="C31" s="3267">
        <f ca="1">ROUND(IF([1]项目基本情况!B11="自然人",C5*F31,C32+C33+C34),0)</f>
        <v>2107860</v>
      </c>
      <c r="D31" s="3264" t="s">
        <v>3046</v>
      </c>
      <c r="E31" s="3283" t="s">
        <v>3047</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3025</v>
      </c>
      <c r="B32" s="3221" t="s">
        <v>3105</v>
      </c>
      <c r="C32" s="3267">
        <f ca="1">IF([1]项目基本情况!B11="自然人","——",ROUND(C5*F32/(1+'[1]数据-取费表'!C42),0))</f>
        <v>0</v>
      </c>
      <c r="D32" s="3283" t="s">
        <v>3106</v>
      </c>
      <c r="E32" s="3221" t="s">
        <v>3033</v>
      </c>
      <c r="F32" s="3299">
        <f>'[1]数据-取费表'!B41</f>
        <v>0</v>
      </c>
      <c r="G32" s="3211"/>
      <c r="H32" s="3317"/>
      <c r="I32" s="3318"/>
      <c r="J32" s="3319"/>
      <c r="K32" s="3243"/>
      <c r="L32" s="3320"/>
      <c r="M32" s="3321"/>
    </row>
    <row r="33" spans="1:18" ht="18" customHeight="1">
      <c r="A33" s="3262" t="s">
        <v>3074</v>
      </c>
      <c r="B33" s="3221" t="s">
        <v>3054</v>
      </c>
      <c r="C33" s="3267">
        <f ca="1">IF([1]项目基本情况!B11="自然人","——",IF(D33="按租金收入计税",ROUND(C5*F33,0),IF(D33="按房产原值计税",ROUND(C29*F33*0.7,0),INDIRECT("'数据-取费表'!Aj"&amp;$G$1))))</f>
        <v>2107860</v>
      </c>
      <c r="D33" s="3287" t="s">
        <v>3055</v>
      </c>
      <c r="E33" s="3221" t="s">
        <v>3033</v>
      </c>
      <c r="F33" s="3280">
        <f>IF(D33="按票据","——",IF(D33="按租金收入计税",'[1]数据-取费表'!B51,'[1]数据-取费表'!B50))</f>
        <v>1.2E-2</v>
      </c>
      <c r="G33" s="3211"/>
      <c r="H33" s="3322"/>
      <c r="I33" s="3323"/>
      <c r="J33" s="3324"/>
      <c r="K33" s="3325"/>
      <c r="L33" s="3322"/>
      <c r="M33" s="3322"/>
    </row>
    <row r="34" spans="1:18" ht="18" customHeight="1">
      <c r="A34" s="3218" t="s">
        <v>3034</v>
      </c>
      <c r="B34" s="3220" t="s">
        <v>3058</v>
      </c>
      <c r="C34" s="3289">
        <f ca="1">IF([1]项目基本情况!B11="自然人","——",ROUND(F34*F35,))</f>
        <v>0</v>
      </c>
      <c r="D34" s="3290" t="s">
        <v>3059</v>
      </c>
      <c r="E34" s="3221" t="s">
        <v>3060</v>
      </c>
      <c r="F34" s="3291">
        <f>'[1]数据-取费表'!B52</f>
        <v>0</v>
      </c>
      <c r="G34" s="3211"/>
      <c r="H34" s="3317"/>
      <c r="I34" s="3323"/>
      <c r="J34" s="3324"/>
      <c r="K34" s="3326"/>
      <c r="L34" s="3327"/>
      <c r="M34" s="3327"/>
    </row>
    <row r="35" spans="1:18" ht="18" customHeight="1">
      <c r="A35" s="3328"/>
      <c r="B35" s="3329"/>
      <c r="C35" s="3294"/>
      <c r="D35" s="3295"/>
      <c r="E35" s="3221" t="s">
        <v>3065</v>
      </c>
      <c r="F35" s="3222">
        <f ca="1">INDIRECT("'数据-取费表'!r"&amp;$G$1)</f>
        <v>72735</v>
      </c>
      <c r="G35" s="3211"/>
      <c r="H35" s="3317"/>
      <c r="I35" s="3323"/>
      <c r="J35" s="3324"/>
      <c r="K35" s="3325"/>
      <c r="L35" s="3322"/>
      <c r="M35" s="3322"/>
    </row>
    <row r="36" spans="1:18" ht="18" customHeight="1">
      <c r="A36" s="3330" t="s">
        <v>3012</v>
      </c>
      <c r="B36" s="3221" t="s">
        <v>3068</v>
      </c>
      <c r="C36" s="3267">
        <f ca="1">ROUND(C29*F36,0)</f>
        <v>0</v>
      </c>
      <c r="D36" s="3283" t="s">
        <v>3107</v>
      </c>
      <c r="E36" s="3221" t="s">
        <v>3033</v>
      </c>
      <c r="F36" s="3296">
        <f ca="1">INDIRECT("'数据-取费表'!Ak"&amp;$G$1)</f>
        <v>0</v>
      </c>
      <c r="G36" s="3211"/>
      <c r="H36" s="3322"/>
      <c r="I36" s="3323"/>
      <c r="J36" s="3324"/>
      <c r="K36" s="3331"/>
      <c r="L36" s="3322"/>
      <c r="M36" s="3322"/>
    </row>
    <row r="37" spans="1:18" ht="18" customHeight="1">
      <c r="A37" s="3262" t="s">
        <v>3020</v>
      </c>
      <c r="B37" s="3221" t="s">
        <v>3072</v>
      </c>
      <c r="C37" s="3267">
        <f ca="1">ROUND(C13*F37,0)</f>
        <v>0</v>
      </c>
      <c r="D37" s="3283" t="s">
        <v>3073</v>
      </c>
      <c r="E37" s="3221" t="s">
        <v>3033</v>
      </c>
      <c r="F37" s="3298">
        <f ca="1">INDIRECT("'数据-取费表'!Al"&amp;$G$1)</f>
        <v>0</v>
      </c>
      <c r="G37" s="3211"/>
      <c r="H37" s="3322"/>
      <c r="I37" s="3323"/>
      <c r="J37" s="3324"/>
      <c r="K37" s="3331"/>
      <c r="L37" s="3322"/>
      <c r="M37" s="3322"/>
    </row>
    <row r="38" spans="1:18" ht="18" customHeight="1" thickBot="1">
      <c r="A38" s="3274" t="s">
        <v>3066</v>
      </c>
      <c r="B38" s="3249" t="s">
        <v>3056</v>
      </c>
      <c r="C38" s="3300">
        <f ca="1">ROUND(C5*F38,1)</f>
        <v>0</v>
      </c>
      <c r="D38" s="3301" t="s">
        <v>3077</v>
      </c>
      <c r="E38" s="3249" t="s">
        <v>3033</v>
      </c>
      <c r="F38" s="3250">
        <f ca="1">INDIRECT("'数据-取费表'!Am"&amp;$G$1)</f>
        <v>0</v>
      </c>
      <c r="G38" s="3211"/>
      <c r="H38" s="3322"/>
      <c r="I38" s="3323"/>
      <c r="J38" s="3324"/>
      <c r="K38" s="3332"/>
      <c r="L38" s="3322"/>
      <c r="M38" s="3322"/>
    </row>
    <row r="39" spans="1:18" ht="24.6" customHeight="1" thickTop="1">
      <c r="A39" s="3253" t="s">
        <v>3081</v>
      </c>
      <c r="B39" s="3302" t="s">
        <v>3082</v>
      </c>
      <c r="C39" s="3255">
        <f ca="1">C5-C30</f>
        <v>-2107860</v>
      </c>
      <c r="D39" s="3303" t="s">
        <v>3083</v>
      </c>
      <c r="E39" s="3304"/>
      <c r="F39" s="3305"/>
      <c r="G39" s="3211"/>
      <c r="H39" s="3322"/>
      <c r="I39" s="3323"/>
      <c r="J39" s="3324"/>
      <c r="K39" s="3332"/>
      <c r="L39" s="3322"/>
      <c r="M39" s="3322"/>
    </row>
    <row r="40" spans="1:18" ht="18" customHeight="1">
      <c r="A40" s="3212" t="s">
        <v>3087</v>
      </c>
      <c r="B40" s="3213" t="s">
        <v>3108</v>
      </c>
      <c r="C40" s="3223">
        <f ca="1">ROUND(C39*(1-((1+F42)/(1+F40))^F41)/(F40-F42),0)</f>
        <v>0</v>
      </c>
      <c r="D40" s="3290" t="s">
        <v>3089</v>
      </c>
      <c r="E40" s="3221" t="s">
        <v>3090</v>
      </c>
      <c r="F40" s="3231">
        <f ca="1">INDIRECT("'数据-取费表'!I"&amp;$G$1)</f>
        <v>4.4999999999999998E-2</v>
      </c>
      <c r="G40" s="3211"/>
      <c r="H40" s="3333"/>
      <c r="I40" s="3323"/>
      <c r="J40" s="3324"/>
      <c r="K40" s="3332"/>
      <c r="L40" s="3333"/>
      <c r="M40" s="3333"/>
    </row>
    <row r="41" spans="1:18" ht="18" customHeight="1">
      <c r="A41" s="3229"/>
      <c r="B41" s="3306"/>
      <c r="C41" s="3230"/>
      <c r="D41" s="3307" t="s">
        <v>3093</v>
      </c>
      <c r="E41" s="3221" t="s">
        <v>3094</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3098</v>
      </c>
      <c r="F42" s="3231">
        <f ca="1">INDIRECT("'数据-取费表'!v"&amp;$G$1)</f>
        <v>0</v>
      </c>
      <c r="G42" s="3211"/>
      <c r="H42" s="3334"/>
      <c r="I42" s="3323"/>
      <c r="J42" s="3324"/>
      <c r="K42" s="3331"/>
      <c r="L42" s="3334"/>
      <c r="M42" s="3334"/>
    </row>
    <row r="43" spans="1:18" ht="18" customHeight="1" thickBot="1">
      <c r="A43" s="3311" t="s">
        <v>3101</v>
      </c>
      <c r="B43" s="3312" t="s">
        <v>3109</v>
      </c>
      <c r="C43" s="3313">
        <f ca="1">ROUND(C40/F43,0)</f>
        <v>0</v>
      </c>
      <c r="D43" s="3314" t="s">
        <v>3110</v>
      </c>
      <c r="E43" s="3315" t="s">
        <v>3111</v>
      </c>
      <c r="F43" s="3316">
        <f ca="1">INDIRECT("'数据-取费表'!k"&amp;$G$1)</f>
        <v>87282</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3112</v>
      </c>
      <c r="E45" s="3335"/>
      <c r="F45" s="3335"/>
      <c r="O45" s="3340" t="s">
        <v>3113</v>
      </c>
      <c r="P45" s="3333"/>
      <c r="Q45" s="3333"/>
      <c r="R45" s="3333"/>
    </row>
    <row r="46" spans="1:18" s="3202" customFormat="1" ht="13.5" thickBot="1">
      <c r="A46" s="3341" t="s">
        <v>3114</v>
      </c>
      <c r="C46" s="3342">
        <f ca="1">ROUND(C45/10000,0)</f>
        <v>0</v>
      </c>
      <c r="D46" s="3343" t="str">
        <f>C2</f>
        <v>万元</v>
      </c>
      <c r="I46" s="3344" t="s">
        <v>3115</v>
      </c>
      <c r="J46" s="3345"/>
      <c r="K46" s="3346"/>
      <c r="L46" s="3347" t="e">
        <f ca="1">IF(M47="住宅",0,IF(L48&gt;J51,L60,J60))</f>
        <v>#DIV/0!</v>
      </c>
      <c r="O46" s="3348" t="s">
        <v>3116</v>
      </c>
      <c r="P46" s="3349" t="s">
        <v>3117</v>
      </c>
      <c r="Q46" s="3350" t="s">
        <v>3118</v>
      </c>
      <c r="R46" s="3350" t="s">
        <v>3119</v>
      </c>
    </row>
    <row r="47" spans="1:18" s="3202" customFormat="1" ht="13.5" thickBot="1">
      <c r="A47" s="3351" t="s">
        <v>2998</v>
      </c>
      <c r="B47" s="3352" t="s">
        <v>2999</v>
      </c>
      <c r="C47" s="3352" t="s">
        <v>3000</v>
      </c>
      <c r="D47" s="3352" t="s">
        <v>3001</v>
      </c>
      <c r="E47" s="3353" t="s">
        <v>2997</v>
      </c>
      <c r="F47" s="3354"/>
      <c r="G47" s="3355"/>
      <c r="I47" s="3356" t="s">
        <v>3120</v>
      </c>
      <c r="J47" s="3357"/>
      <c r="K47" s="3358" t="s">
        <v>3121</v>
      </c>
      <c r="L47" s="3359">
        <f ca="1">INDIRECT("'数据-取费表'!d"&amp;$G$1)</f>
        <v>70</v>
      </c>
      <c r="M47" s="3360" t="str">
        <f>IF(ISNUMBER(FIND("住宅",C1)),"住宅","非住宅")</f>
        <v>非住宅</v>
      </c>
      <c r="O47" s="3361" t="s">
        <v>2384</v>
      </c>
      <c r="P47" s="3362" t="s">
        <v>3122</v>
      </c>
      <c r="Q47" s="3363">
        <f ca="1">C40+J29</f>
        <v>0</v>
      </c>
      <c r="R47" s="3363" t="s">
        <v>3123</v>
      </c>
    </row>
    <row r="48" spans="1:18" s="3202" customFormat="1" ht="28.5" thickBot="1">
      <c r="A48" s="3364" t="s">
        <v>3124</v>
      </c>
      <c r="B48" s="3213" t="s">
        <v>3002</v>
      </c>
      <c r="C48" s="3365">
        <f ca="1">C49+C53+C55</f>
        <v>0</v>
      </c>
      <c r="D48" s="3366"/>
      <c r="E48" s="3367"/>
      <c r="F48" s="3368"/>
      <c r="G48" s="3355"/>
      <c r="H48" s="3369"/>
      <c r="I48" s="3370" t="s">
        <v>3125</v>
      </c>
      <c r="J48" s="3371"/>
      <c r="K48" s="3372" t="s">
        <v>3126</v>
      </c>
      <c r="L48" s="3373">
        <f ca="1">INDIRECT("'数据-取费表'!f"&amp;$G$1)</f>
        <v>65.680000000000007</v>
      </c>
      <c r="O48" s="3361" t="s">
        <v>2386</v>
      </c>
      <c r="P48" s="3362" t="s">
        <v>3127</v>
      </c>
      <c r="Q48" s="3363" t="str">
        <f ca="1">J60</f>
        <v>0</v>
      </c>
      <c r="R48" s="3363" t="s">
        <v>3128</v>
      </c>
    </row>
    <row r="49" spans="1:18" s="3202" customFormat="1" ht="13.5" thickBot="1">
      <c r="A49" s="3374" t="s">
        <v>3129</v>
      </c>
      <c r="B49" s="3375" t="s">
        <v>3130</v>
      </c>
      <c r="C49" s="3376">
        <f ca="1">ROUND(F49*F51*F50*(1-F52),0)</f>
        <v>0</v>
      </c>
      <c r="D49" s="3377" t="s">
        <v>3131</v>
      </c>
      <c r="E49" s="3378" t="s">
        <v>3132</v>
      </c>
      <c r="F49" s="3379"/>
      <c r="G49" s="3380"/>
      <c r="H49" s="3369"/>
      <c r="I49" s="3370" t="s">
        <v>3133</v>
      </c>
      <c r="J49" s="3381"/>
      <c r="K49" s="3372" t="s">
        <v>3134</v>
      </c>
      <c r="L49" s="3382"/>
      <c r="O49" s="3383" t="s">
        <v>2388</v>
      </c>
      <c r="P49" s="3362" t="s">
        <v>3135</v>
      </c>
      <c r="Q49" s="3363">
        <f ca="1">C29</f>
        <v>250935750</v>
      </c>
      <c r="R49" s="3363" t="s">
        <v>3123</v>
      </c>
    </row>
    <row r="50" spans="1:18" s="3202" customFormat="1" ht="13.5" thickBot="1">
      <c r="A50" s="3384"/>
      <c r="B50" s="3385"/>
      <c r="C50" s="3386"/>
      <c r="D50" s="3387"/>
      <c r="E50" s="3388" t="s">
        <v>3009</v>
      </c>
      <c r="F50" s="3389">
        <f ca="1">F7</f>
        <v>87282</v>
      </c>
      <c r="H50" s="3369"/>
      <c r="I50" s="3370" t="s">
        <v>3136</v>
      </c>
      <c r="J50" s="3390">
        <f>SUMPRODUCT((I63:I65=J47)*(J62:L62=J48)*(J63:L65))</f>
        <v>0</v>
      </c>
      <c r="K50" s="3372" t="s">
        <v>3137</v>
      </c>
      <c r="L50" s="3382"/>
      <c r="M50" s="3391"/>
      <c r="O50" s="3383" t="s">
        <v>2389</v>
      </c>
      <c r="P50" s="3362" t="s">
        <v>3138</v>
      </c>
      <c r="Q50" s="3392" t="e">
        <f ca="1">J58</f>
        <v>#VALUE!</v>
      </c>
      <c r="R50" s="3363"/>
    </row>
    <row r="51" spans="1:18" s="3202" customFormat="1" ht="13.5" thickBot="1">
      <c r="A51" s="3393"/>
      <c r="B51" s="3385"/>
      <c r="C51" s="3386"/>
      <c r="D51" s="3387"/>
      <c r="E51" s="3394" t="s">
        <v>3010</v>
      </c>
      <c r="F51" s="3222">
        <f ca="1">F8</f>
        <v>0</v>
      </c>
      <c r="I51" s="3395" t="s">
        <v>3139</v>
      </c>
      <c r="J51" s="3396">
        <f>IF(J49="",J50,J49+J50-YEAR('[1]数据-取费表'!B2))</f>
        <v>0</v>
      </c>
      <c r="K51" s="3397" t="s">
        <v>3140</v>
      </c>
      <c r="L51" s="3398">
        <f ca="1">ROUND(-PV(INDIRECT("'数据-取费表'!h"&amp;$G$1),L48,(C39-C13*C76),0),0)</f>
        <v>-48687537</v>
      </c>
      <c r="M51" s="3399"/>
      <c r="O51" s="3383" t="s">
        <v>2391</v>
      </c>
      <c r="P51" s="3362" t="s">
        <v>3141</v>
      </c>
      <c r="Q51" s="3392">
        <f>J52</f>
        <v>0</v>
      </c>
      <c r="R51" s="3363"/>
    </row>
    <row r="52" spans="1:18" s="3202" customFormat="1" ht="13.5" thickBot="1">
      <c r="A52" s="3393"/>
      <c r="B52" s="3385"/>
      <c r="C52" s="3386"/>
      <c r="D52" s="3387"/>
      <c r="E52" s="3394" t="s">
        <v>3011</v>
      </c>
      <c r="F52" s="3400"/>
      <c r="I52" s="3401" t="s">
        <v>3142</v>
      </c>
      <c r="J52" s="3402"/>
      <c r="K52" s="3401" t="s">
        <v>3143</v>
      </c>
      <c r="L52" s="3402"/>
      <c r="O52" s="3383" t="s">
        <v>2393</v>
      </c>
      <c r="P52" s="3362" t="s">
        <v>3144</v>
      </c>
      <c r="Q52" s="3363" t="b">
        <f>J53</f>
        <v>0</v>
      </c>
      <c r="R52" s="3363" t="s">
        <v>3145</v>
      </c>
    </row>
    <row r="53" spans="1:18" s="3202" customFormat="1" ht="30.75" customHeight="1" thickBot="1">
      <c r="A53" s="3403" t="s">
        <v>3146</v>
      </c>
      <c r="B53" s="3288" t="s">
        <v>3013</v>
      </c>
      <c r="C53" s="3235">
        <f>ROUND(IF(F53="押一",F49*F51*F50/12*F11,IF(F53="押二",F49*F51*F50/12*2*F11,IF(F53="押三",F49*F51*F50/12*3*F11,C54*F11))),0)</f>
        <v>0</v>
      </c>
      <c r="D53" s="3236" t="s">
        <v>3147</v>
      </c>
      <c r="E53" s="3232" t="s">
        <v>3015</v>
      </c>
      <c r="F53" s="3237"/>
      <c r="I53" s="3404" t="s">
        <v>3148</v>
      </c>
      <c r="J53" s="3405" t="b">
        <f>IF(M47="住宅",J51,IF(D1="——",MIN(J51,L48),IF(D1="在建（套用方法）",MIN(J51,L48-'[1]数据-取费表'!B24),IF(D1="土地（套用方法）",MIN(J51,L48-'[1]数据-取费表'!B20)))))</f>
        <v>0</v>
      </c>
      <c r="K53" s="3485" t="s">
        <v>3149</v>
      </c>
      <c r="L53" s="3486"/>
      <c r="O53" s="3361" t="s">
        <v>2396</v>
      </c>
      <c r="P53" s="3362" t="s">
        <v>3150</v>
      </c>
      <c r="Q53" s="3363">
        <f ca="1">Q47+Q48</f>
        <v>0</v>
      </c>
      <c r="R53" s="3363" t="s">
        <v>2397</v>
      </c>
    </row>
    <row r="54" spans="1:18" s="3202" customFormat="1" ht="13.5" thickBot="1">
      <c r="A54" s="3374"/>
      <c r="B54" s="3406" t="s">
        <v>3019</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3151</v>
      </c>
      <c r="P54" s="3333"/>
      <c r="Q54" s="3333"/>
      <c r="R54" s="3333"/>
    </row>
    <row r="55" spans="1:18" s="3202" customFormat="1" ht="13.5" thickBot="1">
      <c r="A55" s="3245" t="s">
        <v>3020</v>
      </c>
      <c r="B55" s="3246" t="s">
        <v>3021</v>
      </c>
      <c r="C55" s="3247"/>
      <c r="D55" s="3236"/>
      <c r="E55" s="3407"/>
      <c r="F55" s="3408"/>
      <c r="I55" s="3411" t="s">
        <v>3152</v>
      </c>
      <c r="J55" s="3412" t="e">
        <f ca="1">ROUND(IF(J47="钢混",J57/J50,1-(1-2%)*(J50-J57)/J50),3)</f>
        <v>#VALUE!</v>
      </c>
      <c r="K55" s="3413" t="s">
        <v>3153</v>
      </c>
      <c r="L55" s="3414"/>
      <c r="O55" s="3348" t="s">
        <v>3116</v>
      </c>
      <c r="P55" s="3349" t="s">
        <v>3117</v>
      </c>
      <c r="Q55" s="3350" t="s">
        <v>3118</v>
      </c>
      <c r="R55" s="3350" t="s">
        <v>3119</v>
      </c>
    </row>
    <row r="56" spans="1:18" s="3202" customFormat="1" ht="36" customHeight="1" thickTop="1" thickBot="1">
      <c r="A56" s="3415">
        <v>2</v>
      </c>
      <c r="B56" s="3416" t="s">
        <v>3022</v>
      </c>
      <c r="C56" s="3417">
        <f ca="1">C13</f>
        <v>0</v>
      </c>
      <c r="D56" s="3418"/>
      <c r="E56" s="3419"/>
      <c r="F56" s="3408"/>
      <c r="I56" s="3420" t="s">
        <v>3154</v>
      </c>
      <c r="J56" s="3421"/>
      <c r="K56" s="3370" t="s">
        <v>3155</v>
      </c>
      <c r="L56" s="3373">
        <f ca="1">IF(L48&lt;J51,"——",L48-J51)</f>
        <v>65.680000000000007</v>
      </c>
      <c r="O56" s="3361" t="s">
        <v>2384</v>
      </c>
      <c r="P56" s="3362" t="s">
        <v>3122</v>
      </c>
      <c r="Q56" s="3363">
        <f ca="1">C40+J29</f>
        <v>0</v>
      </c>
      <c r="R56" s="3363" t="s">
        <v>3123</v>
      </c>
    </row>
    <row r="57" spans="1:18" s="3202" customFormat="1" ht="24.75" thickBot="1">
      <c r="A57" s="3422"/>
      <c r="B57" s="3423" t="s">
        <v>3100</v>
      </c>
      <c r="C57" s="3424">
        <f ca="1">C29</f>
        <v>250935750</v>
      </c>
      <c r="D57" s="3425"/>
      <c r="E57" s="3426"/>
      <c r="F57" s="3427"/>
      <c r="I57" s="3428" t="s">
        <v>3156</v>
      </c>
      <c r="J57" s="3429" t="str">
        <f ca="1">IF(OR(M47="住宅",J51&lt;L48,J56="是"),"——",J51-L48)</f>
        <v>——</v>
      </c>
      <c r="K57" s="3370" t="s">
        <v>3157</v>
      </c>
      <c r="L57" s="3373">
        <f ca="1">IF(L48&lt;J51,"——",IF(L55="比较法",L49,IF(L55="基准地价",L50,L51)))</f>
        <v>-48687537</v>
      </c>
      <c r="O57" s="3361" t="s">
        <v>2386</v>
      </c>
      <c r="P57" s="3362" t="s">
        <v>3158</v>
      </c>
      <c r="Q57" s="3363" t="e">
        <f ca="1">L60</f>
        <v>#DIV/0!</v>
      </c>
      <c r="R57" s="3363" t="s">
        <v>3159</v>
      </c>
    </row>
    <row r="58" spans="1:18" s="3202" customFormat="1" ht="24.75" thickBot="1">
      <c r="A58" s="3430" t="s">
        <v>3104</v>
      </c>
      <c r="B58" s="3416" t="s">
        <v>3039</v>
      </c>
      <c r="C58" s="3235">
        <f ca="1">ROUND(C59+C64+C65+C66,0)</f>
        <v>2107860</v>
      </c>
      <c r="D58" s="3431" t="s">
        <v>3040</v>
      </c>
      <c r="E58" s="3432"/>
      <c r="F58" s="3368"/>
      <c r="I58" s="3428" t="s">
        <v>3160</v>
      </c>
      <c r="J58" s="3433" t="e">
        <f ca="1">IF(J55&lt;0.4,0.4,J55)</f>
        <v>#VALUE!</v>
      </c>
      <c r="K58" s="3397" t="s">
        <v>3161</v>
      </c>
      <c r="L58" s="3373" t="e">
        <f ca="1">ROUND(POWER(1+L52,L47-L48)*(POWER(1+L52,L48)-1)/(POWER(1+L52,L47)-1),4)</f>
        <v>#DIV/0!</v>
      </c>
      <c r="O58" s="3383" t="s">
        <v>2388</v>
      </c>
      <c r="P58" s="3362" t="s">
        <v>3162</v>
      </c>
      <c r="Q58" s="3363">
        <f>IF(L55="比较法",L49,IF(L55="基准地价",L50,0))</f>
        <v>0</v>
      </c>
      <c r="R58" s="3363" t="s">
        <v>3123</v>
      </c>
    </row>
    <row r="59" spans="1:18" s="3202" customFormat="1" ht="24.75" thickBot="1">
      <c r="A59" s="3262" t="s">
        <v>3004</v>
      </c>
      <c r="B59" s="3423" t="s">
        <v>3045</v>
      </c>
      <c r="C59" s="3267">
        <f ca="1">ROUND(IF([1]项目基本情况!B11="自然人",C48*F59,C60+C61+C62),0)</f>
        <v>2107860</v>
      </c>
      <c r="D59" s="3434" t="s">
        <v>3046</v>
      </c>
      <c r="E59" s="3435" t="s">
        <v>3047</v>
      </c>
      <c r="F59" s="3284">
        <f ca="1">IF([1]项目基本情况!B11="企业","",IF(INDIRECT("'数据-取费表'!c"&amp;$G$1)="住宅",5%,IF(F49*F50*F51/12/(1+'[1]数据-取费表'!C42)&gt;20000,12%,7%)))</f>
        <v>0.05</v>
      </c>
      <c r="I59" s="3428" t="s">
        <v>3163</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2389</v>
      </c>
      <c r="P59" s="3362" t="s">
        <v>3164</v>
      </c>
      <c r="Q59" s="3392">
        <f>L52</f>
        <v>0</v>
      </c>
      <c r="R59" s="3363"/>
    </row>
    <row r="60" spans="1:18" s="3202" customFormat="1" ht="16.5" thickBot="1">
      <c r="A60" s="3262" t="s">
        <v>3025</v>
      </c>
      <c r="B60" s="3423" t="s">
        <v>3105</v>
      </c>
      <c r="C60" s="3267">
        <f ca="1">IF([1]项目基本情况!B11="自然人","——",ROUND(C48*F60/(1+'[1]数据-取费表'!C42),0))</f>
        <v>0</v>
      </c>
      <c r="D60" s="3435" t="s">
        <v>3106</v>
      </c>
      <c r="E60" s="3423" t="s">
        <v>3033</v>
      </c>
      <c r="F60" s="3299">
        <f t="shared" ref="F60:F66" si="0">F32</f>
        <v>0</v>
      </c>
      <c r="I60" s="3436" t="s">
        <v>3165</v>
      </c>
      <c r="J60" s="3437" t="str">
        <f ca="1">IF(OR(M47="住宅",J51&lt;L48,J56="是"),"0",ROUND(J59/(1+J52)^J53,0))</f>
        <v>0</v>
      </c>
      <c r="K60" s="3438" t="s">
        <v>3166</v>
      </c>
      <c r="L60" s="3437" t="e">
        <f ca="1">IF(OR(M47="住宅",L48&lt;J51),0,ROUND(L57*(L58/L59-1),0))</f>
        <v>#DIV/0!</v>
      </c>
      <c r="O60" s="3383" t="s">
        <v>2391</v>
      </c>
      <c r="P60" s="3362" t="s">
        <v>3167</v>
      </c>
      <c r="Q60" s="3363" t="e">
        <f ca="1">L58</f>
        <v>#DIV/0!</v>
      </c>
      <c r="R60" s="3363" t="s">
        <v>3168</v>
      </c>
    </row>
    <row r="61" spans="1:18" s="3202" customFormat="1" ht="13.5" thickBot="1">
      <c r="A61" s="3262" t="s">
        <v>3169</v>
      </c>
      <c r="B61" s="3423" t="s">
        <v>3054</v>
      </c>
      <c r="C61" s="3267">
        <f ca="1">IF([1]项目基本情况!B11="自然人","——",IF(D61="按租金收入计税",ROUND(C48*F61,0),IF(D61="按房产原值计税",ROUND(C57*F61*0.7,0),INDIRECT("'数据-取费表'!Aj"&amp;$G$1))))</f>
        <v>2107860</v>
      </c>
      <c r="D61" s="3287" t="s">
        <v>3055</v>
      </c>
      <c r="E61" s="3423" t="s">
        <v>3033</v>
      </c>
      <c r="F61" s="3280">
        <f t="shared" si="0"/>
        <v>1.2E-2</v>
      </c>
      <c r="I61" s="3439"/>
      <c r="J61" s="3439"/>
      <c r="K61" s="3439"/>
      <c r="L61" s="3439"/>
      <c r="O61" s="3383" t="s">
        <v>2393</v>
      </c>
      <c r="P61" s="3362" t="str">
        <f>K59</f>
        <v>建设期及建筑物耐用年限下的土地年期修正系数Kn</v>
      </c>
      <c r="Q61" s="3363" t="e">
        <f ca="1">L59</f>
        <v>#DIV/0!</v>
      </c>
      <c r="R61" s="3363" t="s">
        <v>3170</v>
      </c>
    </row>
    <row r="62" spans="1:18" s="3202" customFormat="1" ht="13.5" thickBot="1">
      <c r="A62" s="3262" t="s">
        <v>3171</v>
      </c>
      <c r="B62" s="3440" t="s">
        <v>3058</v>
      </c>
      <c r="C62" s="3289">
        <f ca="1">IF([1]项目基本情况!B11="自然人","——",ROUND(F62*F63,0))</f>
        <v>0</v>
      </c>
      <c r="D62" s="3441" t="s">
        <v>3059</v>
      </c>
      <c r="E62" s="3423" t="s">
        <v>3060</v>
      </c>
      <c r="F62" s="3291">
        <f t="shared" si="0"/>
        <v>0</v>
      </c>
      <c r="I62" s="3442" t="s">
        <v>3172</v>
      </c>
      <c r="J62" s="3443" t="s">
        <v>3173</v>
      </c>
      <c r="K62" s="3443" t="s">
        <v>3174</v>
      </c>
      <c r="L62" s="3443" t="s">
        <v>3175</v>
      </c>
      <c r="M62" s="3444" t="s">
        <v>3176</v>
      </c>
      <c r="O62" s="3361" t="s">
        <v>2396</v>
      </c>
      <c r="P62" s="3362" t="s">
        <v>3150</v>
      </c>
      <c r="Q62" s="3363" t="e">
        <f ca="1">Q56+Q57</f>
        <v>#DIV/0!</v>
      </c>
      <c r="R62" s="3363" t="s">
        <v>2397</v>
      </c>
    </row>
    <row r="63" spans="1:18" s="3202" customFormat="1" ht="13.5" thickBot="1">
      <c r="A63" s="3292"/>
      <c r="B63" s="3445"/>
      <c r="C63" s="3294"/>
      <c r="D63" s="3446"/>
      <c r="E63" s="3423" t="s">
        <v>3065</v>
      </c>
      <c r="F63" s="3222">
        <f t="shared" ca="1" si="0"/>
        <v>72735</v>
      </c>
      <c r="I63" s="3442" t="s">
        <v>3177</v>
      </c>
      <c r="J63" s="3443">
        <v>70</v>
      </c>
      <c r="K63" s="3443">
        <v>50</v>
      </c>
      <c r="L63" s="3443">
        <v>80</v>
      </c>
      <c r="M63" s="3447">
        <v>0.02</v>
      </c>
      <c r="O63" s="3340" t="s">
        <v>3178</v>
      </c>
      <c r="P63" s="3333"/>
      <c r="Q63" s="3333"/>
      <c r="R63" s="3333"/>
    </row>
    <row r="64" spans="1:18" s="3202" customFormat="1" ht="13.5" thickBot="1">
      <c r="A64" s="3262" t="s">
        <v>3012</v>
      </c>
      <c r="B64" s="3423" t="s">
        <v>3068</v>
      </c>
      <c r="C64" s="3267">
        <f ca="1">ROUND(C57*F64,0)</f>
        <v>0</v>
      </c>
      <c r="D64" s="3435" t="s">
        <v>3107</v>
      </c>
      <c r="E64" s="3423" t="s">
        <v>3033</v>
      </c>
      <c r="F64" s="3296">
        <f t="shared" ca="1" si="0"/>
        <v>0</v>
      </c>
      <c r="I64" s="3442" t="s">
        <v>3179</v>
      </c>
      <c r="J64" s="3443">
        <v>50</v>
      </c>
      <c r="K64" s="3443">
        <v>35</v>
      </c>
      <c r="L64" s="3443">
        <v>60</v>
      </c>
      <c r="M64" s="3444">
        <v>0</v>
      </c>
      <c r="O64" s="3348" t="s">
        <v>3116</v>
      </c>
      <c r="P64" s="3349" t="s">
        <v>3117</v>
      </c>
      <c r="Q64" s="3350" t="s">
        <v>3118</v>
      </c>
      <c r="R64" s="3350" t="s">
        <v>3119</v>
      </c>
    </row>
    <row r="65" spans="1:18" s="3202" customFormat="1" ht="13.5" thickBot="1">
      <c r="A65" s="3262" t="s">
        <v>3180</v>
      </c>
      <c r="B65" s="3423" t="s">
        <v>3072</v>
      </c>
      <c r="C65" s="3267">
        <f ca="1">ROUND(C56*F65,0)</f>
        <v>0</v>
      </c>
      <c r="D65" s="3435" t="s">
        <v>3073</v>
      </c>
      <c r="E65" s="3423" t="s">
        <v>3033</v>
      </c>
      <c r="F65" s="3298">
        <f t="shared" ca="1" si="0"/>
        <v>0</v>
      </c>
      <c r="I65" s="3442" t="s">
        <v>3181</v>
      </c>
      <c r="J65" s="3443">
        <v>40</v>
      </c>
      <c r="K65" s="3443">
        <v>30</v>
      </c>
      <c r="L65" s="3443">
        <v>50</v>
      </c>
      <c r="M65" s="3447">
        <v>0.02</v>
      </c>
      <c r="O65" s="3361" t="s">
        <v>2384</v>
      </c>
      <c r="P65" s="3362" t="s">
        <v>3122</v>
      </c>
      <c r="Q65" s="3363">
        <f ca="1">C40+J29</f>
        <v>0</v>
      </c>
      <c r="R65" s="3363" t="s">
        <v>3123</v>
      </c>
    </row>
    <row r="66" spans="1:18" s="3202" customFormat="1" ht="16.5" thickBot="1">
      <c r="A66" s="3262" t="s">
        <v>3182</v>
      </c>
      <c r="B66" s="3423" t="s">
        <v>3056</v>
      </c>
      <c r="C66" s="3267">
        <f ca="1">ROUND(C48*F66,0)</f>
        <v>0</v>
      </c>
      <c r="D66" s="3435" t="s">
        <v>3077</v>
      </c>
      <c r="E66" s="3423" t="s">
        <v>3033</v>
      </c>
      <c r="F66" s="3231">
        <f t="shared" ca="1" si="0"/>
        <v>0</v>
      </c>
      <c r="O66" s="3361" t="s">
        <v>2386</v>
      </c>
      <c r="P66" s="3362" t="s">
        <v>3158</v>
      </c>
      <c r="Q66" s="3363" t="e">
        <f ca="1">L60</f>
        <v>#DIV/0!</v>
      </c>
      <c r="R66" s="3363" t="s">
        <v>3183</v>
      </c>
    </row>
    <row r="67" spans="1:18" s="3202" customFormat="1" ht="16.5" thickBot="1">
      <c r="A67" s="3415" t="s">
        <v>3081</v>
      </c>
      <c r="B67" s="3448" t="s">
        <v>3082</v>
      </c>
      <c r="C67" s="3235">
        <f ca="1">C48-C58</f>
        <v>-2107860</v>
      </c>
      <c r="D67" s="3434" t="s">
        <v>3083</v>
      </c>
      <c r="E67" s="3449"/>
      <c r="F67" s="3450"/>
      <c r="O67" s="3383" t="s">
        <v>2388</v>
      </c>
      <c r="P67" s="3362" t="s">
        <v>3162</v>
      </c>
      <c r="Q67" s="3451">
        <f ca="1">L51</f>
        <v>-48687537</v>
      </c>
      <c r="R67" s="3363" t="s">
        <v>3184</v>
      </c>
    </row>
    <row r="68" spans="1:18" s="3202" customFormat="1" ht="16.5" thickBot="1">
      <c r="A68" s="3452" t="s">
        <v>3087</v>
      </c>
      <c r="B68" s="3453" t="s">
        <v>3108</v>
      </c>
      <c r="C68" s="3223">
        <f ca="1">ROUND(C67*(1-((1+F70)/(1+F68))^F69)/(F68-F70),0)</f>
        <v>0</v>
      </c>
      <c r="D68" s="3441" t="s">
        <v>3089</v>
      </c>
      <c r="E68" s="3423" t="s">
        <v>3090</v>
      </c>
      <c r="F68" s="3231">
        <f ca="1">F40</f>
        <v>4.4999999999999998E-2</v>
      </c>
      <c r="O68" s="3383" t="s">
        <v>2389</v>
      </c>
      <c r="P68" s="3454" t="s">
        <v>3185</v>
      </c>
      <c r="Q68" s="3363">
        <f ca="1">ROUND(Q69-Q70*Q71,0)</f>
        <v>-2107860</v>
      </c>
      <c r="R68" s="3363" t="s">
        <v>3186</v>
      </c>
    </row>
    <row r="69" spans="1:18" s="3202" customFormat="1" ht="13.5" thickBot="1">
      <c r="A69" s="3455"/>
      <c r="B69" s="3456"/>
      <c r="C69" s="3230"/>
      <c r="D69" s="3457" t="s">
        <v>3093</v>
      </c>
      <c r="E69" s="3423" t="s">
        <v>3094</v>
      </c>
      <c r="F69" s="3308">
        <f ca="1">F41</f>
        <v>0</v>
      </c>
      <c r="O69" s="3383" t="s">
        <v>2404</v>
      </c>
      <c r="P69" s="3454" t="s">
        <v>3187</v>
      </c>
      <c r="Q69" s="3363">
        <f ca="1">C39</f>
        <v>-2107860</v>
      </c>
      <c r="R69" s="3363" t="s">
        <v>3123</v>
      </c>
    </row>
    <row r="70" spans="1:18" s="3202" customFormat="1" ht="13.5" thickBot="1">
      <c r="A70" s="3458"/>
      <c r="B70" s="3459"/>
      <c r="C70" s="3255"/>
      <c r="D70" s="3446"/>
      <c r="E70" s="3423" t="s">
        <v>3098</v>
      </c>
      <c r="F70" s="3400">
        <f ca="1">F42</f>
        <v>0</v>
      </c>
      <c r="O70" s="3383" t="s">
        <v>2406</v>
      </c>
      <c r="P70" s="3454" t="s">
        <v>3188</v>
      </c>
      <c r="Q70" s="3363">
        <f ca="1">C13</f>
        <v>0</v>
      </c>
      <c r="R70" s="3363" t="s">
        <v>3123</v>
      </c>
    </row>
    <row r="71" spans="1:18" s="3202" customFormat="1" ht="13.5" thickBot="1">
      <c r="A71" s="3460" t="s">
        <v>3101</v>
      </c>
      <c r="B71" s="3461" t="s">
        <v>3109</v>
      </c>
      <c r="C71" s="3313">
        <f ca="1">ROUND(C68/F71,0)</f>
        <v>0</v>
      </c>
      <c r="D71" s="3462" t="s">
        <v>3110</v>
      </c>
      <c r="E71" s="3463" t="s">
        <v>3111</v>
      </c>
      <c r="F71" s="3316">
        <f ca="1">F43</f>
        <v>87282</v>
      </c>
      <c r="O71" s="3383" t="s">
        <v>2408</v>
      </c>
      <c r="P71" s="3454" t="s">
        <v>3189</v>
      </c>
      <c r="Q71" s="3392">
        <f ca="1">C76</f>
        <v>8.5000000000000006E-2</v>
      </c>
      <c r="R71" s="3363"/>
    </row>
    <row r="72" spans="1:18" s="3202" customFormat="1" ht="13.5" thickBot="1">
      <c r="B72" s="3464"/>
      <c r="C72" s="3464"/>
      <c r="O72" s="3383" t="s">
        <v>2391</v>
      </c>
      <c r="P72" s="3362" t="s">
        <v>3164</v>
      </c>
      <c r="Q72" s="3392">
        <f>L52</f>
        <v>0</v>
      </c>
      <c r="R72" s="3363"/>
    </row>
    <row r="73" spans="1:18" ht="16.5" thickBot="1">
      <c r="A73" s="3202"/>
      <c r="B73" s="3464"/>
      <c r="C73" s="3464"/>
      <c r="D73" s="3202"/>
      <c r="E73" s="3202"/>
      <c r="F73" s="3202"/>
      <c r="O73" s="3383" t="s">
        <v>2393</v>
      </c>
      <c r="P73" s="3362" t="s">
        <v>3167</v>
      </c>
      <c r="Q73" s="3363" t="e">
        <f ca="1">L58</f>
        <v>#DIV/0!</v>
      </c>
      <c r="R73" s="3363" t="s">
        <v>3168</v>
      </c>
    </row>
    <row r="74" spans="1:18" ht="13.5" thickBot="1">
      <c r="A74" s="3202"/>
      <c r="B74" s="3466" t="s">
        <v>3190</v>
      </c>
      <c r="C74" s="3467"/>
      <c r="D74" s="3202"/>
      <c r="E74" s="3202"/>
      <c r="F74" s="3202"/>
      <c r="O74" s="3383" t="s">
        <v>3191</v>
      </c>
      <c r="P74" s="3362" t="str">
        <f>K59</f>
        <v>建设期及建筑物耐用年限下的土地年期修正系数Kn</v>
      </c>
      <c r="Q74" s="3363" t="e">
        <f ca="1">L59</f>
        <v>#DIV/0!</v>
      </c>
      <c r="R74" s="3363" t="s">
        <v>3170</v>
      </c>
    </row>
    <row r="75" spans="1:18" ht="13.5" thickBot="1">
      <c r="A75" s="3202"/>
      <c r="B75" s="3468" t="s">
        <v>3192</v>
      </c>
      <c r="C75" s="3469">
        <f ca="1">ROUND(C13*C76,0)</f>
        <v>0</v>
      </c>
      <c r="D75" s="3202"/>
      <c r="E75" s="3202"/>
      <c r="F75" s="3202"/>
      <c r="K75" s="3337"/>
      <c r="L75" s="3202"/>
      <c r="O75" s="3361" t="s">
        <v>2396</v>
      </c>
      <c r="P75" s="3362" t="s">
        <v>3150</v>
      </c>
      <c r="Q75" s="3363" t="e">
        <f ca="1">Q65+Q66</f>
        <v>#DIV/0!</v>
      </c>
      <c r="R75" s="3363" t="s">
        <v>2397</v>
      </c>
    </row>
    <row r="76" spans="1:18">
      <c r="B76" s="3470" t="s">
        <v>3193</v>
      </c>
      <c r="C76" s="3471">
        <f ca="1">INDIRECT("'数据-取费表'!j"&amp;$G$1)</f>
        <v>8.5000000000000006E-2</v>
      </c>
      <c r="I76" s="3202"/>
      <c r="J76" s="3202"/>
      <c r="K76" s="3337"/>
      <c r="L76" s="3202"/>
    </row>
    <row r="77" spans="1:18">
      <c r="B77" s="3472" t="s">
        <v>3194</v>
      </c>
      <c r="C77" s="3473"/>
      <c r="I77" s="3202"/>
      <c r="J77" s="3202"/>
      <c r="K77" s="3337"/>
      <c r="L77" s="3202"/>
    </row>
    <row r="78" spans="1:18">
      <c r="B78" s="3474" t="s">
        <v>3195</v>
      </c>
      <c r="C78" s="3475"/>
    </row>
    <row r="79" spans="1:18">
      <c r="B79" s="3468" t="s">
        <v>3196</v>
      </c>
      <c r="C79" s="3476">
        <f ca="1">1-C80</f>
        <v>1</v>
      </c>
    </row>
    <row r="80" spans="1:18">
      <c r="B80" s="3468" t="s">
        <v>3197</v>
      </c>
      <c r="C80" s="3476">
        <f ca="1">ROUND(C75/C39,3)</f>
        <v>0</v>
      </c>
    </row>
    <row r="81" spans="2:3">
      <c r="B81" s="3474" t="s">
        <v>3198</v>
      </c>
      <c r="C81" s="3424"/>
    </row>
    <row r="82" spans="2:3">
      <c r="B82" s="3466" t="s">
        <v>3199</v>
      </c>
      <c r="C82" s="3477" t="e">
        <f ca="1">1-C83</f>
        <v>#DIV/0!</v>
      </c>
    </row>
    <row r="83" spans="2:3">
      <c r="B83" s="3466" t="s">
        <v>3200</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4" t="s">
        <v>2967</v>
      </c>
      <c r="C18" s="1555"/>
    </row>
    <row r="19" spans="1:3">
      <c r="A19" s="8" t="s">
        <v>120</v>
      </c>
      <c r="B19" s="3144" t="s">
        <v>2975</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514"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15日，在规划利用条件下、设定土地开发程度为红线外“七通”、宗地内场地，设定用途为，剩余土地使用年限为的出让国有建设用地使用权价格。</v>
      </c>
      <c r="D53" s="1769"/>
      <c r="E53" s="1769"/>
    </row>
    <row r="54" spans="1:5">
      <c r="A54" s="3514"/>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14"/>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14"/>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14"/>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16" sqref="I16"/>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30" t="str">
        <f>IF(B10="北京市","北京市",C10)&amp;F10&amp;B16&amp;"国有建设用地使用权"&amp;B9&amp;"预评估"</f>
        <v>出让国有建设用地使用权抵押价格预评估</v>
      </c>
      <c r="C1" s="3531"/>
      <c r="D1" s="3531"/>
      <c r="E1" s="3531"/>
      <c r="F1" s="3531"/>
      <c r="G1" s="3531"/>
      <c r="H1" s="3531"/>
      <c r="I1" s="3532"/>
      <c r="J1" s="1694"/>
      <c r="K1" s="2480"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43174</v>
      </c>
      <c r="C3" s="1663" t="s">
        <v>1999</v>
      </c>
      <c r="D3" s="1662">
        <v>43174</v>
      </c>
      <c r="E3" s="1694"/>
      <c r="F3" s="1694"/>
      <c r="G3" s="1694"/>
      <c r="H3" s="1660"/>
      <c r="I3" s="1695"/>
      <c r="J3" s="1694"/>
      <c r="K3" s="1774"/>
      <c r="L3" s="1723"/>
      <c r="M3" s="1723"/>
      <c r="N3" s="1694"/>
      <c r="O3" s="1695"/>
      <c r="P3" s="1694"/>
      <c r="Q3" s="1694"/>
      <c r="R3" s="1694"/>
      <c r="S3" s="1694"/>
      <c r="T3" s="1694"/>
      <c r="U3" s="1694"/>
    </row>
    <row r="4" spans="1:21" ht="29.25" thickBot="1">
      <c r="A4" s="1664" t="s">
        <v>1944</v>
      </c>
      <c r="B4" s="1843" t="s">
        <v>2896</v>
      </c>
      <c r="C4" s="1846">
        <f>SUMIF(土地估价师,B4,估价师及机构信息!E3:E24)</f>
        <v>0</v>
      </c>
      <c r="D4" s="1843" t="s">
        <v>2896</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2713</v>
      </c>
      <c r="B6" s="1789"/>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2714</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3201</v>
      </c>
      <c r="C8" s="1671"/>
      <c r="D8" s="3536" t="s">
        <v>1948</v>
      </c>
      <c r="E8" s="1844" t="s">
        <v>3202</v>
      </c>
      <c r="F8" s="1672"/>
      <c r="G8" s="1660"/>
      <c r="H8" s="1660"/>
      <c r="I8" s="1707"/>
      <c r="J8" s="1694"/>
      <c r="K8" s="1774"/>
      <c r="L8" s="1723"/>
      <c r="M8" s="1723"/>
      <c r="N8" s="1694"/>
      <c r="O8" s="1695"/>
      <c r="P8" s="1694"/>
      <c r="Q8" s="1694"/>
      <c r="R8" s="1694"/>
      <c r="S8" s="1694"/>
      <c r="T8" s="1694"/>
      <c r="U8" s="1694"/>
    </row>
    <row r="9" spans="1:21" ht="15" thickBot="1">
      <c r="A9" s="1673" t="s">
        <v>1947</v>
      </c>
      <c r="B9" s="1674" t="s">
        <v>3202</v>
      </c>
      <c r="C9" s="1675"/>
      <c r="D9" s="3537"/>
      <c r="E9" s="1674" t="s">
        <v>953</v>
      </c>
      <c r="F9" s="1747"/>
      <c r="G9" s="1742"/>
      <c r="H9" s="1742"/>
      <c r="I9" s="1743"/>
      <c r="J9" s="1694"/>
      <c r="K9" s="1774"/>
      <c r="L9" s="1723"/>
      <c r="M9" s="1723"/>
      <c r="N9" s="1694"/>
      <c r="O9" s="1695"/>
      <c r="P9" s="1694"/>
      <c r="Q9" s="1694"/>
      <c r="R9" s="1694"/>
      <c r="S9" s="1694"/>
      <c r="T9" s="1694"/>
      <c r="U9" s="1694"/>
    </row>
    <row r="10" spans="1:21" ht="15" thickTop="1">
      <c r="A10" s="1744" t="s">
        <v>2003</v>
      </c>
      <c r="B10" s="1719" t="s">
        <v>3203</v>
      </c>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t="s">
        <v>3204</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533"/>
      <c r="C12" s="3534"/>
      <c r="D12" s="3535"/>
      <c r="E12" s="1699" t="s">
        <v>2065</v>
      </c>
      <c r="F12" s="3551" t="s">
        <v>2897</v>
      </c>
      <c r="G12" s="3552"/>
      <c r="H12" s="3552"/>
      <c r="I12" s="3553"/>
      <c r="J12" s="1694"/>
      <c r="K12" s="1774"/>
      <c r="L12" s="1723"/>
      <c r="M12" s="1723"/>
      <c r="N12" s="1694"/>
      <c r="O12" s="1695"/>
      <c r="P12" s="1694"/>
      <c r="Q12" s="1694"/>
      <c r="R12" s="1694"/>
      <c r="S12" s="1694"/>
      <c r="T12" s="1694"/>
      <c r="U12" s="1694"/>
    </row>
    <row r="13" spans="1:21">
      <c r="A13" s="1687" t="s">
        <v>2063</v>
      </c>
      <c r="B13" s="3533"/>
      <c r="C13" s="3534"/>
      <c r="D13" s="3535"/>
      <c r="E13" s="1699" t="s">
        <v>2065</v>
      </c>
      <c r="F13" s="3551" t="s">
        <v>2898</v>
      </c>
      <c r="G13" s="3552"/>
      <c r="H13" s="3552"/>
      <c r="I13" s="3553"/>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3205</v>
      </c>
      <c r="C16" s="1699" t="s">
        <v>1952</v>
      </c>
      <c r="D16" s="2672" t="s">
        <v>1953</v>
      </c>
      <c r="E16" s="1722"/>
      <c r="F16" s="1722"/>
      <c r="G16" s="1722"/>
      <c r="H16" s="1722"/>
      <c r="I16" s="1686" t="s">
        <v>1958</v>
      </c>
      <c r="J16" s="1694"/>
      <c r="K16" s="2481" t="str">
        <f>IF(D17="","",D16&amp;TEXT(D17,"yyyy年m月d日;;"))</f>
        <v>住宅2083年11月5日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67150</v>
      </c>
      <c r="E17" s="1700"/>
      <c r="F17" s="1700"/>
      <c r="G17" s="1700"/>
      <c r="H17" s="1700"/>
      <c r="I17" s="1700"/>
      <c r="J17" s="1694"/>
      <c r="K17" s="2480" t="str">
        <f>CONCATENATE(K16,L16,M16,N16,O16,P16,Q16,R16,S16,T16,,U16)</f>
        <v>住宅2083年11月5日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65.680000000000007</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548"/>
      <c r="E20" s="3549"/>
      <c r="F20" s="3549"/>
      <c r="G20" s="3549"/>
      <c r="H20" s="3549"/>
      <c r="I20" s="3550"/>
      <c r="J20" s="1694"/>
      <c r="K20" s="1774"/>
      <c r="L20" s="1723"/>
      <c r="M20" s="1723"/>
      <c r="N20" s="1694"/>
      <c r="O20" s="1695"/>
      <c r="P20" s="1694"/>
      <c r="Q20" s="1694"/>
      <c r="R20" s="1694"/>
      <c r="S20" s="1694"/>
      <c r="T20" s="1694"/>
      <c r="U20" s="1694"/>
    </row>
    <row r="21" spans="1:21">
      <c r="A21" s="1763" t="s">
        <v>1962</v>
      </c>
      <c r="B21" s="1764" t="s">
        <v>1963</v>
      </c>
      <c r="C21" s="1759">
        <f>'数据-汇总表'!E3</f>
        <v>87282</v>
      </c>
      <c r="D21" s="1760" t="s">
        <v>1964</v>
      </c>
      <c r="E21" s="3538" t="s">
        <v>2002</v>
      </c>
      <c r="F21" s="3539"/>
      <c r="G21" s="3539"/>
      <c r="H21" s="3539"/>
      <c r="I21" s="3540"/>
      <c r="J21" s="1694"/>
      <c r="K21" s="1774"/>
      <c r="L21" s="1723"/>
      <c r="M21" s="1723"/>
      <c r="N21" s="1694"/>
      <c r="O21" s="1695"/>
      <c r="P21" s="1694"/>
      <c r="Q21" s="1694"/>
      <c r="R21" s="1694"/>
      <c r="S21" s="1694"/>
      <c r="T21" s="1694"/>
      <c r="U21" s="1694"/>
    </row>
    <row r="22" spans="1:21">
      <c r="A22" s="2663" t="s">
        <v>953</v>
      </c>
      <c r="B22" s="1661" t="s">
        <v>1965</v>
      </c>
      <c r="C22" s="1686">
        <f>'数据-汇总表'!D3</f>
        <v>72735</v>
      </c>
      <c r="D22" s="1687" t="s">
        <v>1964</v>
      </c>
      <c r="E22" s="3538" t="s">
        <v>2899</v>
      </c>
      <c r="F22" s="3539"/>
      <c r="G22" s="3539"/>
      <c r="H22" s="3539"/>
      <c r="I22" s="3540"/>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541" t="s">
        <v>1970</v>
      </c>
      <c r="C24" s="3542"/>
      <c r="D24" s="3543" t="s">
        <v>1971</v>
      </c>
      <c r="E24" s="3544"/>
      <c r="F24" s="1708" t="s">
        <v>1972</v>
      </c>
      <c r="G24" s="1694"/>
      <c r="H24" s="1694"/>
      <c r="I24" s="1707"/>
      <c r="J24" s="1694"/>
      <c r="K24" s="3529"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529"/>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529"/>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515" t="s">
        <v>2005</v>
      </c>
      <c r="B31" s="1764" t="s">
        <v>2006</v>
      </c>
      <c r="C31" s="3554"/>
      <c r="D31" s="3555"/>
      <c r="E31" s="1694"/>
      <c r="F31" s="1694"/>
      <c r="G31" s="1694"/>
      <c r="H31" s="1694"/>
      <c r="I31" s="1707"/>
      <c r="J31" s="1694"/>
      <c r="K31" s="2483"/>
      <c r="L31" s="1694"/>
      <c r="M31" s="1694"/>
      <c r="N31" s="1694"/>
      <c r="O31" s="1694"/>
      <c r="P31" s="1694"/>
      <c r="Q31" s="1694"/>
      <c r="R31" s="1694"/>
      <c r="S31" s="1694"/>
      <c r="T31" s="1694"/>
      <c r="U31" s="1694"/>
    </row>
    <row r="32" spans="1:21">
      <c r="A32" s="3515"/>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515"/>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516"/>
      <c r="B34" s="1661" t="s">
        <v>2009</v>
      </c>
      <c r="C34" s="3517"/>
      <c r="D34" s="3518"/>
      <c r="E34" s="1694"/>
      <c r="F34" s="1694"/>
      <c r="G34" s="1694"/>
      <c r="H34" s="1694"/>
      <c r="I34" s="1707"/>
      <c r="J34" s="1694"/>
      <c r="K34" s="2483"/>
      <c r="L34" s="1694"/>
      <c r="M34" s="1694"/>
      <c r="N34" s="1694"/>
      <c r="O34" s="1694"/>
      <c r="P34" s="1694"/>
      <c r="Q34" s="1694"/>
      <c r="R34" s="1694"/>
      <c r="S34" s="1694"/>
      <c r="T34" s="1694"/>
      <c r="U34" s="1694"/>
    </row>
    <row r="35" spans="1:21">
      <c r="A35" s="3519" t="s">
        <v>848</v>
      </c>
      <c r="B35" s="1722"/>
      <c r="C35" s="1776" t="str">
        <f>IF(B35="场地平整","——","具体情况：")</f>
        <v>具体情况：</v>
      </c>
      <c r="D35" s="3521"/>
      <c r="E35" s="3522"/>
      <c r="F35" s="3522"/>
      <c r="G35" s="3522"/>
      <c r="H35" s="3522"/>
      <c r="I35" s="3523"/>
      <c r="J35" s="1694"/>
      <c r="K35" s="1775"/>
      <c r="L35" s="1723"/>
      <c r="M35" s="1723"/>
      <c r="N35" s="1694"/>
      <c r="O35" s="1695"/>
      <c r="P35" s="1694"/>
      <c r="Q35" s="1694"/>
      <c r="R35" s="1694"/>
      <c r="S35" s="1694"/>
      <c r="T35" s="1694"/>
      <c r="U35" s="1694"/>
    </row>
    <row r="36" spans="1:21">
      <c r="A36" s="3515"/>
      <c r="B36" s="3524" t="s">
        <v>2058</v>
      </c>
      <c r="C36" s="3525"/>
      <c r="D36" s="1792"/>
      <c r="E36" s="3526"/>
      <c r="F36" s="3526"/>
      <c r="G36" s="1687" t="str">
        <f>IF(B35="场地未平整","估价结果处理","")</f>
        <v/>
      </c>
      <c r="H36" s="3527"/>
      <c r="I36" s="3527"/>
      <c r="J36" s="1694"/>
      <c r="K36" s="1775"/>
      <c r="L36" s="1723"/>
      <c r="M36" s="1723"/>
      <c r="N36" s="1694"/>
      <c r="O36" s="1695"/>
      <c r="P36" s="1694"/>
      <c r="Q36" s="1694"/>
      <c r="R36" s="1694"/>
      <c r="S36" s="1694"/>
      <c r="T36" s="1694"/>
      <c r="U36" s="1694"/>
    </row>
    <row r="37" spans="1:21" ht="28.5">
      <c r="A37" s="3515"/>
      <c r="B37" s="3545"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515"/>
      <c r="B38" s="3546"/>
      <c r="C38" s="1669" t="s">
        <v>851</v>
      </c>
      <c r="D38" s="1791">
        <f>ROUNDDOWN(MIN(('数据-取费表'!$B$2-D37)/365,D34),1)</f>
        <v>118.2</v>
      </c>
      <c r="E38" s="1727" t="s">
        <v>852</v>
      </c>
      <c r="F38" s="1694"/>
      <c r="G38" s="1694"/>
      <c r="H38" s="1694"/>
      <c r="I38" s="1707"/>
      <c r="J38" s="1694"/>
      <c r="K38" s="1775"/>
      <c r="L38" s="1694"/>
      <c r="M38" s="1694"/>
      <c r="N38" s="1694"/>
      <c r="O38" s="1694"/>
      <c r="P38" s="1694"/>
      <c r="Q38" s="1694"/>
      <c r="R38" s="1694"/>
      <c r="S38" s="1694"/>
      <c r="T38" s="1694"/>
      <c r="U38" s="1694"/>
    </row>
    <row r="39" spans="1:21">
      <c r="A39" s="3516"/>
      <c r="B39" s="3547"/>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528" t="s">
        <v>1989</v>
      </c>
      <c r="T40" s="1731" t="str">
        <f>NUMBERSTRING(7-K40,1)&amp;"通"</f>
        <v>七通</v>
      </c>
      <c r="U40" s="1694"/>
    </row>
    <row r="41" spans="1:21">
      <c r="A41" s="1663"/>
      <c r="B41" s="3520" t="s">
        <v>1723</v>
      </c>
      <c r="C41" s="3520"/>
      <c r="D41" s="3520"/>
      <c r="E41" s="3520"/>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528"/>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2900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72735</v>
      </c>
      <c r="B3" s="22">
        <f>IF(C3="否",G5-AT5,G5)</f>
        <v>87282</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87282</v>
      </c>
      <c r="H5" s="27">
        <f t="shared" ref="H5:AT5" si="0">SUM(H13:H641)</f>
        <v>87282</v>
      </c>
      <c r="I5" s="27">
        <f t="shared" si="0"/>
        <v>87282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87282</v>
      </c>
      <c r="BA5" s="29">
        <f t="shared" si="1"/>
        <v>87282</v>
      </c>
      <c r="BB5" s="29">
        <f t="shared" si="1"/>
        <v>87282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72735</v>
      </c>
      <c r="F6" s="27" t="s">
        <v>1</v>
      </c>
      <c r="G6" s="27" t="s">
        <v>2</v>
      </c>
      <c r="H6" s="33">
        <f>SUMIF(I$12:AB$12,"总值",I6:AB6)</f>
        <v>72735</v>
      </c>
      <c r="I6" s="27">
        <f t="shared" ref="I6:AB6" si="2">ROUND($A$3*I5/$B$3,2)</f>
        <v>72735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72735</v>
      </c>
      <c r="AZ6" s="27" t="s">
        <v>3</v>
      </c>
      <c r="BA6" s="27">
        <f>ROUND($AY$6*BA5/$AZ$5,2)</f>
        <v>72735</v>
      </c>
      <c r="BB6" s="27">
        <f>ROUND($AY$6*BB5/$AZ$5,2)</f>
        <v>72735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3206</v>
      </c>
      <c r="J9" s="51"/>
      <c r="K9" s="3045"/>
      <c r="L9" s="51"/>
      <c r="M9" s="304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c r="L10" s="51"/>
      <c r="M10" s="3047"/>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3207</v>
      </c>
      <c r="J11" s="71"/>
      <c r="K11" s="3046"/>
      <c r="L11" s="71"/>
      <c r="M11" s="70"/>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1680</v>
      </c>
      <c r="E13" s="27">
        <f t="shared" ref="E13:E20" si="6">IF($C$3="是",ROUND($A$3*G13/$B$3,2),ROUND($A$3*(G13-AT13)/$B$3,2))</f>
        <v>72735</v>
      </c>
      <c r="F13" s="81"/>
      <c r="G13" s="82">
        <f t="shared" ref="G13:G20" si="7">H13+AC13+AT13</f>
        <v>87282</v>
      </c>
      <c r="H13" s="33">
        <f t="shared" ref="H13:H20" si="8">SUMIF(I$12:AB$12,"总值",I13:AB13)</f>
        <v>87282</v>
      </c>
      <c r="I13" s="3044">
        <f>A3*1.2</f>
        <v>87282</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72735</v>
      </c>
      <c r="AZ13" s="27">
        <f t="shared" ref="AZ13:AZ20" si="12">BA13+BL13</f>
        <v>87282</v>
      </c>
      <c r="BA13" s="27">
        <f t="shared" ref="BA13:BA20" si="13">SUM(BB13:BK13)</f>
        <v>87282</v>
      </c>
      <c r="BB13" s="27">
        <f t="shared" ref="BB13:BB20" si="14">IF($D13="是",I13-J13,0)</f>
        <v>87282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6" t="s">
        <v>0</v>
      </c>
      <c r="B1" s="3556" t="s">
        <v>4</v>
      </c>
      <c r="C1" s="3556" t="s">
        <v>5</v>
      </c>
      <c r="D1" s="3557" t="s">
        <v>40</v>
      </c>
      <c r="E1" s="3557" t="s">
        <v>41</v>
      </c>
      <c r="F1" s="3557"/>
      <c r="G1" s="3557"/>
      <c r="H1" s="3557"/>
      <c r="I1" s="3557"/>
      <c r="J1" s="3557"/>
      <c r="K1" s="3557"/>
      <c r="L1" s="3557"/>
      <c r="M1" s="3557"/>
    </row>
    <row r="2" spans="1:13" ht="27" customHeight="1">
      <c r="A2" s="3556"/>
      <c r="B2" s="3556"/>
      <c r="C2" s="3556"/>
      <c r="D2" s="3557"/>
      <c r="E2" s="3557" t="s">
        <v>24</v>
      </c>
      <c r="F2" s="3557" t="s">
        <v>25</v>
      </c>
      <c r="G2" s="3557"/>
      <c r="H2" s="3557"/>
      <c r="I2" s="3557"/>
      <c r="J2" s="3557" t="s">
        <v>26</v>
      </c>
      <c r="K2" s="3557"/>
      <c r="L2" s="3557"/>
      <c r="M2" s="3557"/>
    </row>
    <row r="3" spans="1:13" ht="28.5">
      <c r="A3" s="3556"/>
      <c r="B3" s="3556"/>
      <c r="C3" s="3556"/>
      <c r="D3" s="3557"/>
      <c r="E3" s="35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7" t="s">
        <v>42</v>
      </c>
      <c r="B9" s="3557"/>
      <c r="C9" s="35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567" t="s">
        <v>203</v>
      </c>
      <c r="B2" s="3567"/>
      <c r="C2" s="3567"/>
      <c r="D2" s="1976" t="s">
        <v>204</v>
      </c>
      <c r="E2" s="106" t="s">
        <v>205</v>
      </c>
      <c r="F2" s="1985"/>
      <c r="G2" s="1198"/>
      <c r="H2" s="1199"/>
      <c r="I2" s="1200" t="s">
        <v>858</v>
      </c>
      <c r="J2" s="1985"/>
      <c r="K2" s="1985"/>
      <c r="L2" s="1985"/>
    </row>
    <row r="3" spans="1:16" ht="15.75" thickBot="1">
      <c r="A3" s="3568" t="s">
        <v>206</v>
      </c>
      <c r="B3" s="3568"/>
      <c r="C3" s="3568"/>
      <c r="D3" s="107">
        <f>'数据-基础表'!AY6</f>
        <v>72735</v>
      </c>
      <c r="E3" s="107">
        <f>'数据-基础表'!AZ5</f>
        <v>87282</v>
      </c>
      <c r="F3" s="1985"/>
      <c r="G3" s="280" t="s">
        <v>859</v>
      </c>
      <c r="H3" s="275" t="s">
        <v>860</v>
      </c>
      <c r="I3" s="1977">
        <f>ROUND('数据-基础表'!B3/'数据-基础表'!A3,2)</f>
        <v>1.2</v>
      </c>
      <c r="J3" s="1985"/>
      <c r="K3" s="1985"/>
      <c r="L3" s="1985"/>
    </row>
    <row r="4" spans="1:16" ht="15">
      <c r="A4" s="3569"/>
      <c r="B4" s="3570"/>
      <c r="C4" s="3571"/>
      <c r="D4" s="108" t="s">
        <v>204</v>
      </c>
      <c r="E4" s="109" t="s">
        <v>205</v>
      </c>
      <c r="F4" s="1985"/>
      <c r="G4" s="1201"/>
      <c r="H4" s="275" t="s">
        <v>861</v>
      </c>
      <c r="I4" s="1977">
        <f>ROUND(SUMIF('数据-基础表'!I9:AS9,"地上",'数据-基础表'!I5:AS5)/'数据-基础表'!A3,2)</f>
        <v>1.2</v>
      </c>
      <c r="J4" s="1985"/>
      <c r="K4" s="1985"/>
      <c r="L4" s="1985"/>
    </row>
    <row r="5" spans="1:16">
      <c r="A5" s="110" t="s">
        <v>207</v>
      </c>
      <c r="B5" s="3572" t="s">
        <v>230</v>
      </c>
      <c r="C5" s="3572"/>
      <c r="D5" s="111">
        <f>ROUND($D$3*E5/$E$3,2)</f>
        <v>72735</v>
      </c>
      <c r="E5" s="112">
        <f>SUMIF('数据-基础表'!$11:$11,"住宅",'数据-基础表'!$5:$5)</f>
        <v>87282</v>
      </c>
      <c r="F5" s="1985"/>
      <c r="G5" s="280" t="s">
        <v>862</v>
      </c>
      <c r="H5" s="275" t="s">
        <v>860</v>
      </c>
      <c r="I5" s="1977">
        <f>ROUND(E31/D31,2)</f>
        <v>1.2</v>
      </c>
      <c r="J5" s="1985"/>
      <c r="K5" s="1985"/>
      <c r="L5" s="1985"/>
    </row>
    <row r="6" spans="1:16" ht="15" thickBot="1">
      <c r="A6" s="113"/>
      <c r="B6" s="3572" t="s">
        <v>208</v>
      </c>
      <c r="C6" s="3572"/>
      <c r="D6" s="111">
        <f>ROUND($D$3*E6/$E$3,2)</f>
        <v>0</v>
      </c>
      <c r="E6" s="112">
        <f>E3-E5</f>
        <v>0</v>
      </c>
      <c r="F6" s="1985"/>
      <c r="G6" s="1201"/>
      <c r="H6" s="275" t="s">
        <v>861</v>
      </c>
      <c r="I6" s="1977">
        <f>ROUND(F31/D31,2)</f>
        <v>1.2</v>
      </c>
      <c r="J6" s="1985"/>
      <c r="K6" s="1985"/>
      <c r="L6" s="1985"/>
    </row>
    <row r="7" spans="1:16" ht="15">
      <c r="A7" s="3564"/>
      <c r="B7" s="3565"/>
      <c r="C7" s="3566"/>
      <c r="D7" s="108" t="s">
        <v>204</v>
      </c>
      <c r="E7" s="114" t="s">
        <v>231</v>
      </c>
      <c r="F7" s="1985"/>
      <c r="G7" s="1156" t="s">
        <v>1647</v>
      </c>
      <c r="H7" s="1157"/>
      <c r="I7" s="1847">
        <v>4</v>
      </c>
      <c r="J7" s="1985"/>
      <c r="K7" s="1985"/>
      <c r="L7" s="1985"/>
    </row>
    <row r="8" spans="1:16">
      <c r="A8" s="110" t="s">
        <v>209</v>
      </c>
      <c r="B8" s="115" t="s">
        <v>210</v>
      </c>
      <c r="C8" s="111" t="s">
        <v>211</v>
      </c>
      <c r="D8" s="111">
        <f t="shared" ref="D8:D15" si="0">ROUND($D$3*E8/$E$3,2)</f>
        <v>72735</v>
      </c>
      <c r="E8" s="116">
        <f>SUMIF('数据-基础表'!BB10:BK10,"地上",'数据-基础表'!BB5:BK5)</f>
        <v>87282</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72735</v>
      </c>
      <c r="E16" s="120">
        <f>SUM(E8:E15)</f>
        <v>87282</v>
      </c>
      <c r="F16" s="1985"/>
      <c r="G16" s="1987"/>
      <c r="H16" s="968" t="s">
        <v>219</v>
      </c>
      <c r="I16" s="969"/>
      <c r="J16" s="1985"/>
      <c r="K16" s="3558" t="s">
        <v>2573</v>
      </c>
      <c r="L16" s="3559"/>
      <c r="M16" s="3559"/>
      <c r="N16" s="3559"/>
      <c r="O16" s="3559"/>
      <c r="P16" s="3560"/>
    </row>
    <row r="17" spans="1:19" ht="15">
      <c r="A17" s="121" t="s">
        <v>216</v>
      </c>
      <c r="B17" s="122" t="s">
        <v>217</v>
      </c>
      <c r="C17" s="2299" t="s">
        <v>2317</v>
      </c>
      <c r="D17" s="108" t="s">
        <v>204</v>
      </c>
      <c r="E17" s="124" t="s">
        <v>205</v>
      </c>
      <c r="F17" s="125"/>
      <c r="G17" s="1366"/>
      <c r="H17" s="970" t="s">
        <v>218</v>
      </c>
      <c r="I17" s="971" t="s">
        <v>2316</v>
      </c>
      <c r="J17" s="1985"/>
      <c r="K17" s="3561" t="s">
        <v>2574</v>
      </c>
      <c r="L17" s="3562"/>
      <c r="M17" s="3563"/>
      <c r="N17" s="3561" t="s">
        <v>2575</v>
      </c>
      <c r="O17" s="3562"/>
      <c r="P17" s="3563"/>
      <c r="R17" s="2300" t="s">
        <v>2315</v>
      </c>
      <c r="S17" s="144"/>
    </row>
    <row r="18" spans="1:19" ht="15">
      <c r="A18" s="117"/>
      <c r="B18" s="128"/>
      <c r="C18" s="129"/>
      <c r="D18" s="2668"/>
      <c r="E18" s="130" t="s">
        <v>220</v>
      </c>
      <c r="F18" s="131"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1" t="s">
        <v>3208</v>
      </c>
      <c r="D19" s="111">
        <f t="shared" ref="D19:D26" si="1">ROUND($D$3*E19/$E$3,2)</f>
        <v>72735</v>
      </c>
      <c r="E19" s="134">
        <f t="shared" ref="E19:E26" si="2">SUM(F19:G19)</f>
        <v>87282</v>
      </c>
      <c r="F19" s="135">
        <f>'数据-基础表'!I13</f>
        <v>87282</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72735</v>
      </c>
      <c r="S19" s="2302">
        <f t="shared" si="5"/>
        <v>87282</v>
      </c>
    </row>
    <row r="20" spans="1:19">
      <c r="A20" s="138"/>
      <c r="B20" s="115" t="s">
        <v>226</v>
      </c>
      <c r="C20" s="3051"/>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72735</v>
      </c>
      <c r="E27" s="143">
        <f>IF(SUM(E19:E26)='数据-基础表'!BA5,SUM(E19:E26),IF(F27="地上面积有误","面积有误","地下面积有误"))</f>
        <v>87282</v>
      </c>
      <c r="F27" s="134">
        <f>IF(SUM(F19:F26)=E8,SUM(F19:F26),"地上面积有误")</f>
        <v>87282</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72735</v>
      </c>
      <c r="S27" s="275">
        <f>IF(SUM(S19:S26)=$E$3,SUM(S19:S26),SUM(S19:S26)&amp;"误差"&amp;ROUND(SUM(S19:S26)-E3,2))</f>
        <v>87282</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2326</v>
      </c>
      <c r="D31" s="1372">
        <f>D27+D30</f>
        <v>72735</v>
      </c>
      <c r="E31" s="1372">
        <f>E27+E30</f>
        <v>87282</v>
      </c>
      <c r="F31" s="1373">
        <f>F27+F30</f>
        <v>87282</v>
      </c>
      <c r="G31" s="1374">
        <f>G27+G30</f>
        <v>0</v>
      </c>
      <c r="H31" s="1985"/>
      <c r="I31" s="1985"/>
      <c r="J31" s="1985"/>
      <c r="K31" s="1985"/>
      <c r="L31" s="1985"/>
    </row>
    <row r="32" spans="1:19">
      <c r="A32" s="1985"/>
      <c r="B32" s="2364" t="s">
        <v>2325</v>
      </c>
      <c r="C32" s="2673"/>
      <c r="D32" s="1201"/>
      <c r="E32" s="1201">
        <f>SUMIF(C19:C26,"*住宅*",E19:E26)</f>
        <v>87282</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43174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67150</v>
      </c>
      <c r="F6" s="174">
        <f>SUMIF(项目基本情况!D$15:I$15,C6,项目基本情况!D$19:I$19)</f>
        <v>65.680000000000007</v>
      </c>
      <c r="G6" s="175">
        <f>IF(ISERROR(ROUND(POWER(1+H6,D6-F6)*(POWER(1+H6,F6)-1)/(POWER(1+H6,D6)-1),3)),0,ROUND(POWER(1+H6,D6-F6)*(POWER(1+H6,F6)-1)/(POWER(1+H6,D6)-1),3))</f>
        <v>0.98699999999999999</v>
      </c>
      <c r="H6" s="3052">
        <v>0.04</v>
      </c>
      <c r="I6" s="3052">
        <v>4.4999999999999998E-2</v>
      </c>
      <c r="J6" s="176">
        <v>8.5000000000000006E-2</v>
      </c>
      <c r="K6" s="179">
        <f>SUMIF('数据-汇总表'!C$19:C$33,'数据-取费表'!A6,'数据-汇总表'!E$19:E$33)</f>
        <v>87282</v>
      </c>
      <c r="L6" s="3053">
        <v>2500</v>
      </c>
      <c r="M6" s="177">
        <f t="shared" ref="M6:M14" si="0">ROUND(K6*L6/10000,0)</f>
        <v>21821</v>
      </c>
      <c r="N6" s="3054">
        <v>0</v>
      </c>
      <c r="O6" s="177">
        <f>IF($N$5="成新度","——",ROUND(M6*N6,0))</f>
        <v>0</v>
      </c>
      <c r="P6" s="178">
        <f>IF($N$5="成新度","——",M6-O6)</f>
        <v>21821</v>
      </c>
      <c r="Q6" s="3055">
        <v>0.15</v>
      </c>
      <c r="R6" s="179">
        <f>SUMIF('数据-汇总表'!C$19:C$33,A6,'数据-汇总表'!R$19:R$33)</f>
        <v>72735</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0.92400000000000004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2"/>
      <c r="I7" s="3052"/>
      <c r="J7" s="176"/>
      <c r="K7" s="179">
        <f>SUMIF('数据-汇总表'!C$19:C$33,'数据-取费表'!A7,'数据-汇总表'!E$19:E$33)</f>
        <v>0</v>
      </c>
      <c r="L7" s="3053"/>
      <c r="M7" s="177">
        <f t="shared" si="0"/>
        <v>0</v>
      </c>
      <c r="N7" s="3054"/>
      <c r="O7" s="177">
        <f t="shared" ref="O7:O14" si="3">IF($N$5="成新度","——",ROUND(M7*N7,0))</f>
        <v>0</v>
      </c>
      <c r="P7" s="178">
        <f t="shared" ref="P7:P14" si="4">IF($N$5="成新度","——",M7-O7)</f>
        <v>0</v>
      </c>
      <c r="Q7" s="3055"/>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0.98699999999999999</v>
      </c>
      <c r="H16" s="203">
        <f>ROUND(SUMPRODUCT(H6:H13,K6:K13)/SUMPRODUCT((H6:H13&gt;0)*(K6:K13)),3)</f>
        <v>0.04</v>
      </c>
      <c r="I16" s="204"/>
      <c r="J16" s="204"/>
      <c r="K16" s="205">
        <f>SUM(K6:K15)</f>
        <v>87282</v>
      </c>
      <c r="L16" s="206">
        <f>ROUND(M16*10000/SUM(K6:K14),0)</f>
        <v>2500</v>
      </c>
      <c r="M16" s="206">
        <f>SUM(M6:M14)</f>
        <v>21821</v>
      </c>
      <c r="N16" s="207">
        <f>ROUND(SUMPRODUCT(M6:M14,N6:N14)/M16,3)</f>
        <v>0</v>
      </c>
      <c r="O16" s="206">
        <f>SUM(O6:O14)</f>
        <v>0</v>
      </c>
      <c r="P16" s="206">
        <f>SUM(P6:P14)</f>
        <v>21821</v>
      </c>
      <c r="Q16" s="208">
        <f>ROUND(SUMPRODUCT(Q6:Q13,K6:K13)/SUMPRODUCT((Q6:Q13&gt;0)*(K6:K13)),2)</f>
        <v>0.15</v>
      </c>
      <c r="R16" s="2312">
        <f>SUM(R6:R13)</f>
        <v>72735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0.92400000000000004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350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350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1"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2"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2"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c r="C53" s="3103" t="s">
        <v>2912</v>
      </c>
      <c r="D53" s="3104" t="s">
        <v>2913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2914</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2915</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2916</v>
      </c>
      <c r="B56" s="186"/>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2917</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2918</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2919</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2920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2921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2922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2923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73" t="s">
        <v>1665</v>
      </c>
      <c r="B1" s="3574"/>
      <c r="C1" s="3574"/>
      <c r="D1" s="3574"/>
      <c r="E1" s="3574"/>
      <c r="F1" s="3574"/>
      <c r="G1" s="3574"/>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08" t="s">
        <v>2930</v>
      </c>
      <c r="D3" s="2010"/>
      <c r="E3" s="1229" t="s">
        <v>1668</v>
      </c>
      <c r="F3" s="1230" t="s">
        <v>1656</v>
      </c>
      <c r="G3" s="3112" t="s">
        <v>2929</v>
      </c>
      <c r="H3" s="2009"/>
      <c r="I3" s="2009"/>
      <c r="J3" s="2009"/>
      <c r="K3" s="2009"/>
      <c r="L3" s="2009"/>
      <c r="M3" s="2009"/>
      <c r="N3" s="2009"/>
      <c r="O3" s="2009"/>
      <c r="P3" s="2009"/>
      <c r="Q3" s="2009"/>
      <c r="R3" s="2009"/>
    </row>
    <row r="4" spans="1:18" ht="41.25">
      <c r="A4" s="1229"/>
      <c r="B4" s="1231" t="s">
        <v>1669</v>
      </c>
      <c r="C4" s="3109" t="s">
        <v>2931</v>
      </c>
      <c r="D4" s="2010"/>
      <c r="E4" s="1232"/>
      <c r="F4" s="1233" t="s">
        <v>1670</v>
      </c>
      <c r="G4" s="3110" t="s">
        <v>2926</v>
      </c>
      <c r="H4" s="2009"/>
      <c r="I4" s="2009"/>
      <c r="J4" s="2009"/>
      <c r="K4" s="2009"/>
      <c r="L4" s="2009"/>
      <c r="M4" s="2009"/>
      <c r="N4" s="2009"/>
      <c r="O4" s="2009"/>
      <c r="P4" s="2009"/>
      <c r="Q4" s="2009"/>
      <c r="R4" s="2009"/>
    </row>
    <row r="5" spans="1:18" ht="41.25">
      <c r="A5" s="1229"/>
      <c r="B5" s="1231" t="s">
        <v>1671</v>
      </c>
      <c r="C5" s="3109" t="s">
        <v>2932</v>
      </c>
      <c r="D5" s="2010"/>
      <c r="E5" s="1232"/>
      <c r="F5" s="1231" t="s">
        <v>2553</v>
      </c>
      <c r="G5" s="3110" t="s">
        <v>2927</v>
      </c>
      <c r="H5" s="2009"/>
      <c r="I5" s="2009"/>
      <c r="J5" s="2009"/>
      <c r="K5" s="2009"/>
      <c r="L5" s="2009"/>
      <c r="M5" s="2009"/>
      <c r="N5" s="2009"/>
      <c r="O5" s="2009"/>
      <c r="P5" s="2009"/>
      <c r="Q5" s="2009"/>
      <c r="R5" s="2009"/>
    </row>
    <row r="6" spans="1:18" ht="54">
      <c r="A6" s="1229"/>
      <c r="B6" s="1231" t="s">
        <v>1657</v>
      </c>
      <c r="C6" s="3110" t="s">
        <v>2926</v>
      </c>
      <c r="D6" s="2010"/>
      <c r="E6" s="1232"/>
      <c r="F6" s="1231" t="s">
        <v>2554</v>
      </c>
      <c r="G6" s="3110" t="s">
        <v>2924</v>
      </c>
      <c r="H6" s="2009"/>
      <c r="I6" s="2009"/>
      <c r="J6" s="2009"/>
      <c r="K6" s="2009"/>
      <c r="L6" s="2009"/>
      <c r="M6" s="2009"/>
      <c r="N6" s="2009"/>
      <c r="O6" s="2009"/>
      <c r="P6" s="2009"/>
      <c r="Q6" s="2009"/>
      <c r="R6" s="2009"/>
    </row>
    <row r="7" spans="1:18" ht="41.25" thickBot="1">
      <c r="A7" s="1229"/>
      <c r="B7" s="1231" t="s">
        <v>2553</v>
      </c>
      <c r="C7" s="3110" t="s">
        <v>2927</v>
      </c>
      <c r="D7" s="2011"/>
      <c r="E7" s="1234"/>
      <c r="F7" s="1235" t="s">
        <v>1672</v>
      </c>
      <c r="G7" s="3113" t="s">
        <v>2928</v>
      </c>
      <c r="H7" s="2009"/>
      <c r="I7" s="2009"/>
      <c r="J7" s="2009"/>
      <c r="K7" s="2009"/>
      <c r="L7" s="2009"/>
      <c r="M7" s="2009"/>
      <c r="N7" s="2009"/>
      <c r="O7" s="2009"/>
      <c r="P7" s="2009"/>
      <c r="Q7" s="2009"/>
      <c r="R7" s="2009"/>
    </row>
    <row r="8" spans="1:18" ht="27">
      <c r="A8" s="1229"/>
      <c r="B8" s="1231" t="s">
        <v>2554</v>
      </c>
      <c r="C8" s="3110" t="s">
        <v>2924</v>
      </c>
      <c r="D8" s="2011"/>
      <c r="E8" s="2011"/>
      <c r="F8" s="1554"/>
      <c r="G8" s="1554"/>
      <c r="H8" s="2009"/>
      <c r="I8" s="2009"/>
      <c r="J8" s="2009"/>
      <c r="K8" s="2009"/>
      <c r="L8" s="2009"/>
      <c r="M8" s="2009"/>
      <c r="N8" s="2009"/>
      <c r="O8" s="2009"/>
      <c r="P8" s="2009"/>
      <c r="Q8" s="2009"/>
      <c r="R8" s="2009"/>
    </row>
    <row r="9" spans="1:18" ht="40.5">
      <c r="A9" s="1229"/>
      <c r="B9" s="1231" t="s">
        <v>1658</v>
      </c>
      <c r="C9" s="3109" t="s">
        <v>2925</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估价对象周边居住用地比例、居住小区规模和社区发展完善程度，综合评价居住社区成熟度一般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0"/>
    </row>
    <row r="18" spans="1:7" ht="54">
      <c r="A18" s="2614"/>
      <c r="B18" s="1247" t="s">
        <v>1657</v>
      </c>
      <c r="C18" s="1005" t="str">
        <f>C6</f>
        <v>估价对象周边道路状况、公共交通通达情况、停车便捷程度，综合评价交通便捷度较好</v>
      </c>
      <c r="D18" s="2011"/>
      <c r="E18" s="2611"/>
      <c r="F18" s="1247" t="s">
        <v>1672</v>
      </c>
      <c r="G18" s="1005" t="str">
        <f>G7</f>
        <v>该园区内是否有污染型企业，绿化情况，卫生条件，整体环境状况判断</v>
      </c>
    </row>
    <row r="19" spans="1:7" ht="27">
      <c r="A19" s="2614"/>
      <c r="B19" s="1247" t="s">
        <v>1661</v>
      </c>
      <c r="C19" s="2820"/>
      <c r="D19" s="2010"/>
      <c r="E19" s="2611"/>
      <c r="F19" s="1231" t="s">
        <v>2553</v>
      </c>
      <c r="G19" s="1005" t="str">
        <f>G5</f>
        <v>估价对象所在区域公共配套设施齐备情况</v>
      </c>
    </row>
    <row r="20" spans="1:7" ht="40.5">
      <c r="A20" s="2614"/>
      <c r="B20" s="1247" t="s">
        <v>1662</v>
      </c>
      <c r="C20" s="1246" t="str">
        <f>C9</f>
        <v>区域自然环境：；人文环境；综合评价环境状况一般</v>
      </c>
      <c r="D20" s="2011"/>
      <c r="E20" s="2611"/>
      <c r="F20" s="1231" t="s">
        <v>2554</v>
      </c>
      <c r="G20" s="1005" t="str">
        <f>G6</f>
        <v>估价对象所在区域基础设施水平</v>
      </c>
    </row>
    <row r="21" spans="1:7" ht="27">
      <c r="A21" s="2614"/>
      <c r="B21" s="1231" t="s">
        <v>2553</v>
      </c>
      <c r="C21" s="1005" t="str">
        <f>C7</f>
        <v>估价对象所在区域公共配套设施齐备情况</v>
      </c>
      <c r="D21" s="2010"/>
      <c r="E21" s="2611"/>
      <c r="F21" s="1247" t="s">
        <v>1663</v>
      </c>
      <c r="G21" s="3114"/>
    </row>
    <row r="22" spans="1:7" ht="27">
      <c r="A22" s="2614"/>
      <c r="B22" s="1231" t="s">
        <v>2554</v>
      </c>
      <c r="C22" s="1005" t="str">
        <f>C8</f>
        <v>估价对象所在区域基础设施水平</v>
      </c>
      <c r="D22" s="2010"/>
      <c r="E22" s="2611"/>
      <c r="F22" s="1247" t="s">
        <v>1673</v>
      </c>
      <c r="G22" s="2820"/>
    </row>
    <row r="23" spans="1:7" ht="15" thickBot="1">
      <c r="A23" s="2614"/>
      <c r="B23" s="1247" t="s">
        <v>1663</v>
      </c>
      <c r="C23" s="3114"/>
      <c r="E23" s="2612"/>
      <c r="F23" s="1248" t="s">
        <v>1677</v>
      </c>
      <c r="G23" s="3115"/>
    </row>
    <row r="24" spans="1:7" ht="14.25" thickBot="1">
      <c r="A24" s="2615"/>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2851</v>
      </c>
      <c r="B1" s="3072">
        <f>SUM(B14:B23)</f>
        <v>87282</v>
      </c>
      <c r="C1" s="3073"/>
      <c r="D1" s="3073"/>
      <c r="E1" s="3073"/>
      <c r="F1" s="3073"/>
    </row>
    <row r="2" spans="1:9" ht="16.5">
      <c r="A2" s="3072" t="s">
        <v>2852</v>
      </c>
      <c r="B2" s="3072">
        <f>SUM(C14:C23)</f>
        <v>72735</v>
      </c>
      <c r="C2" s="3073"/>
      <c r="D2" s="3073"/>
      <c r="E2" s="3073"/>
      <c r="F2" s="3073"/>
    </row>
    <row r="3" spans="1:9" ht="16.5">
      <c r="A3" s="3072" t="s">
        <v>2853</v>
      </c>
      <c r="B3" s="3074">
        <f>项目基本情况!D3</f>
        <v>43174</v>
      </c>
      <c r="C3" s="3073"/>
      <c r="D3" s="3073"/>
      <c r="E3" s="3073"/>
      <c r="F3" s="3073"/>
    </row>
    <row r="4" spans="1:9" ht="33">
      <c r="A4" s="3072" t="s">
        <v>2854</v>
      </c>
      <c r="B4" s="3072" t="s">
        <v>2855</v>
      </c>
      <c r="C4" s="3072" t="s">
        <v>2856</v>
      </c>
      <c r="D4" s="3072" t="s">
        <v>2857</v>
      </c>
      <c r="E4" s="3073"/>
      <c r="F4" s="3073"/>
    </row>
    <row r="5" spans="1:9" ht="16.5">
      <c r="A5" s="3072" t="s">
        <v>2858</v>
      </c>
      <c r="B5" s="3072">
        <f ca="1">SUM(D14:D23)</f>
        <v>140630</v>
      </c>
      <c r="C5" s="3072">
        <f ca="1">ROUND(B5*10000/$B$1,0)</f>
        <v>16112</v>
      </c>
      <c r="D5" s="3072">
        <f ca="1">ROUND(B5*10000/$B$2,0)</f>
        <v>19335</v>
      </c>
      <c r="E5" s="3073"/>
      <c r="F5" s="3073"/>
    </row>
    <row r="6" spans="1:9" ht="16.5">
      <c r="A6" s="3072" t="s">
        <v>2859</v>
      </c>
      <c r="B6" s="3072">
        <f ca="1">SUM(G14:G23)</f>
        <v>140630</v>
      </c>
      <c r="C6" s="3072">
        <f t="shared" ref="C6:C8" ca="1" si="0">ROUND(B6*10000/$B$1,0)</f>
        <v>16112</v>
      </c>
      <c r="D6" s="3072">
        <f t="shared" ref="D6:D8" ca="1" si="1">ROUND(B6*10000/$B$2,0)</f>
        <v>19335</v>
      </c>
      <c r="E6" s="3073"/>
      <c r="F6" s="3073"/>
    </row>
    <row r="7" spans="1:9" ht="16.5">
      <c r="A7" s="3072" t="s">
        <v>2860</v>
      </c>
      <c r="B7" s="3072">
        <f>SUM(H14:H23)</f>
        <v>0</v>
      </c>
      <c r="C7" s="3072">
        <f t="shared" si="0"/>
        <v>0</v>
      </c>
      <c r="D7" s="3072">
        <f t="shared" si="1"/>
        <v>0</v>
      </c>
      <c r="E7" s="3073"/>
      <c r="F7" s="3073"/>
    </row>
    <row r="8" spans="1:9" ht="16.5">
      <c r="A8" s="3072" t="s">
        <v>2861</v>
      </c>
      <c r="B8" s="3072">
        <f>SUM(I14:I23)</f>
        <v>0</v>
      </c>
      <c r="C8" s="3072">
        <f t="shared" si="0"/>
        <v>0</v>
      </c>
      <c r="D8" s="3072">
        <f t="shared" si="1"/>
        <v>0</v>
      </c>
      <c r="E8" s="3073"/>
      <c r="F8" s="3073"/>
    </row>
    <row r="9" spans="1:9" ht="16.5">
      <c r="A9" s="3072" t="s">
        <v>2862</v>
      </c>
      <c r="B9" s="3075"/>
      <c r="C9" s="3073"/>
      <c r="D9" s="3073"/>
      <c r="E9" s="3073"/>
      <c r="F9" s="3073"/>
    </row>
    <row r="10" spans="1:9" ht="16.5">
      <c r="A10" s="3072" t="s">
        <v>2863</v>
      </c>
      <c r="B10" s="3075"/>
      <c r="C10" s="3073"/>
      <c r="D10" s="3073"/>
      <c r="E10" s="3073"/>
      <c r="F10" s="3073"/>
    </row>
    <row r="11" spans="1:9" ht="16.5">
      <c r="A11" s="3072" t="s">
        <v>2880</v>
      </c>
      <c r="B11" s="3075"/>
      <c r="C11" s="3073"/>
      <c r="D11" s="3073"/>
      <c r="E11" s="3073"/>
      <c r="F11" s="3073"/>
    </row>
    <row r="12" spans="1:9" ht="16.5">
      <c r="A12" s="3073"/>
      <c r="B12" s="3073"/>
      <c r="C12" s="3073"/>
      <c r="D12" s="3073"/>
      <c r="E12" s="3073"/>
      <c r="F12" s="3073"/>
    </row>
    <row r="13" spans="1:9" ht="33">
      <c r="A13" s="3078" t="s">
        <v>2879</v>
      </c>
      <c r="B13" s="3076" t="s">
        <v>2851</v>
      </c>
      <c r="C13" s="3076" t="s">
        <v>2852</v>
      </c>
      <c r="D13" s="3076" t="s">
        <v>2864</v>
      </c>
      <c r="E13" s="3072" t="s">
        <v>2878</v>
      </c>
      <c r="F13" s="3072" t="s">
        <v>2857</v>
      </c>
      <c r="G13" s="3076" t="s">
        <v>2865</v>
      </c>
      <c r="H13" s="3076" t="s">
        <v>2866</v>
      </c>
      <c r="I13" s="3076" t="s">
        <v>2867</v>
      </c>
    </row>
    <row r="14" spans="1:9" ht="16.5">
      <c r="A14" s="3079" t="s">
        <v>2877</v>
      </c>
      <c r="B14" s="3076">
        <f>结果表!L38</f>
        <v>87282</v>
      </c>
      <c r="C14" s="3076">
        <f>结果表!K38</f>
        <v>72735</v>
      </c>
      <c r="D14" s="3076">
        <f ca="1">结果表!C42</f>
        <v>140630</v>
      </c>
      <c r="E14" s="3076">
        <f ca="1">ROUND(D14*10000/B14,0)</f>
        <v>16112</v>
      </c>
      <c r="F14" s="3076">
        <f ca="1">ROUND(D14*10000/C14,0)</f>
        <v>19335</v>
      </c>
      <c r="G14" s="3076">
        <f ca="1">结果表!C44</f>
        <v>140630</v>
      </c>
      <c r="H14" s="3076" t="str">
        <f>结果表!C45</f>
        <v>——</v>
      </c>
      <c r="I14" s="3076" t="str">
        <f>结果表!C46</f>
        <v>——</v>
      </c>
    </row>
    <row r="15" spans="1:9" ht="16.5">
      <c r="A15" s="3079" t="s">
        <v>2868</v>
      </c>
      <c r="B15" s="3080"/>
      <c r="C15" s="3080"/>
      <c r="D15" s="3080"/>
      <c r="E15" s="3076" t="e">
        <f t="shared" ref="E15:E23" si="2">ROUND(D15*10000/B15,0)</f>
        <v>#DIV/0!</v>
      </c>
      <c r="F15" s="3076" t="e">
        <f t="shared" ref="F15:F23" si="3">ROUND(D15*10000/C15,0)</f>
        <v>#DIV/0!</v>
      </c>
      <c r="G15" s="3077"/>
      <c r="H15" s="3077"/>
      <c r="I15" s="3080"/>
    </row>
    <row r="16" spans="1:9" ht="16.5">
      <c r="A16" s="3079" t="s">
        <v>2869</v>
      </c>
      <c r="B16" s="3080"/>
      <c r="C16" s="3080"/>
      <c r="D16" s="3080"/>
      <c r="E16" s="3076" t="e">
        <f t="shared" si="2"/>
        <v>#DIV/0!</v>
      </c>
      <c r="F16" s="3076" t="e">
        <f t="shared" si="3"/>
        <v>#DIV/0!</v>
      </c>
      <c r="G16" s="3077"/>
      <c r="H16" s="3077"/>
      <c r="I16" s="3080"/>
    </row>
    <row r="17" spans="1:9" ht="16.5">
      <c r="A17" s="3079" t="s">
        <v>2870</v>
      </c>
      <c r="B17" s="3080"/>
      <c r="C17" s="3080"/>
      <c r="D17" s="3080"/>
      <c r="E17" s="3076" t="e">
        <f t="shared" si="2"/>
        <v>#DIV/0!</v>
      </c>
      <c r="F17" s="3076" t="e">
        <f t="shared" si="3"/>
        <v>#DIV/0!</v>
      </c>
      <c r="G17" s="3077"/>
      <c r="H17" s="3077"/>
      <c r="I17" s="3080"/>
    </row>
    <row r="18" spans="1:9" ht="16.5">
      <c r="A18" s="3079" t="s">
        <v>2871</v>
      </c>
      <c r="B18" s="3080"/>
      <c r="C18" s="3080"/>
      <c r="D18" s="3080"/>
      <c r="E18" s="3076" t="e">
        <f t="shared" si="2"/>
        <v>#DIV/0!</v>
      </c>
      <c r="F18" s="3076" t="e">
        <f t="shared" si="3"/>
        <v>#DIV/0!</v>
      </c>
      <c r="G18" s="3080"/>
      <c r="H18" s="3080"/>
      <c r="I18" s="3080"/>
    </row>
    <row r="19" spans="1:9" ht="16.5">
      <c r="A19" s="3079" t="s">
        <v>2872</v>
      </c>
      <c r="B19" s="3080"/>
      <c r="C19" s="3080"/>
      <c r="D19" s="3080"/>
      <c r="E19" s="3076" t="e">
        <f t="shared" si="2"/>
        <v>#DIV/0!</v>
      </c>
      <c r="F19" s="3076" t="e">
        <f t="shared" si="3"/>
        <v>#DIV/0!</v>
      </c>
      <c r="G19" s="3080"/>
      <c r="H19" s="3080"/>
      <c r="I19" s="3080"/>
    </row>
    <row r="20" spans="1:9" ht="16.5">
      <c r="A20" s="3079" t="s">
        <v>2873</v>
      </c>
      <c r="B20" s="3080"/>
      <c r="C20" s="3080"/>
      <c r="D20" s="3080"/>
      <c r="E20" s="3076" t="e">
        <f t="shared" si="2"/>
        <v>#DIV/0!</v>
      </c>
      <c r="F20" s="3076" t="e">
        <f t="shared" si="3"/>
        <v>#DIV/0!</v>
      </c>
      <c r="G20" s="3080"/>
      <c r="H20" s="3080"/>
      <c r="I20" s="3080"/>
    </row>
    <row r="21" spans="1:9" ht="16.5">
      <c r="A21" s="3079" t="s">
        <v>2874</v>
      </c>
      <c r="B21" s="3080"/>
      <c r="C21" s="3080"/>
      <c r="D21" s="3080"/>
      <c r="E21" s="3076" t="e">
        <f t="shared" si="2"/>
        <v>#DIV/0!</v>
      </c>
      <c r="F21" s="3076" t="e">
        <f t="shared" si="3"/>
        <v>#DIV/0!</v>
      </c>
      <c r="G21" s="3080"/>
      <c r="H21" s="3080"/>
      <c r="I21" s="3080"/>
    </row>
    <row r="22" spans="1:9" ht="16.5">
      <c r="A22" s="3079" t="s">
        <v>2875</v>
      </c>
      <c r="B22" s="3080"/>
      <c r="C22" s="3080"/>
      <c r="D22" s="3080"/>
      <c r="E22" s="3076" t="e">
        <f t="shared" si="2"/>
        <v>#DIV/0!</v>
      </c>
      <c r="F22" s="3076" t="e">
        <f t="shared" si="3"/>
        <v>#DIV/0!</v>
      </c>
      <c r="G22" s="3080"/>
      <c r="H22" s="3080"/>
      <c r="I22" s="3080"/>
    </row>
    <row r="23" spans="1:9" ht="16.5">
      <c r="A23" s="3079" t="s">
        <v>2876</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D22" sqref="D2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c r="E1" s="1806" t="s">
        <v>2061</v>
      </c>
      <c r="F1" s="1808"/>
      <c r="G1" s="311"/>
      <c r="H1" s="311"/>
      <c r="I1" s="311"/>
      <c r="J1" s="2030"/>
      <c r="K1" s="2030"/>
      <c r="L1" s="2030"/>
      <c r="M1" s="2030"/>
      <c r="N1" s="2030"/>
      <c r="O1" s="2030"/>
      <c r="P1" s="2030"/>
      <c r="Q1" s="2030"/>
      <c r="R1" s="2030"/>
      <c r="S1" s="2030"/>
      <c r="T1" s="2030"/>
      <c r="U1" s="2030"/>
      <c r="V1" s="2030"/>
    </row>
    <row r="2" spans="1:22" ht="21.75" customHeight="1" thickBot="1">
      <c r="A2" s="3611" t="str">
        <f>项目基本情况!K2</f>
        <v>出让国有建设用地使用权</v>
      </c>
      <c r="B2" s="3612"/>
      <c r="C2" s="3613"/>
      <c r="D2" s="3613"/>
      <c r="E2" s="3613"/>
      <c r="F2" s="3613"/>
      <c r="G2" s="3612"/>
      <c r="H2" s="3612"/>
      <c r="I2" s="3614"/>
      <c r="J2" s="2031"/>
      <c r="K2" s="2030"/>
      <c r="L2" s="2030"/>
      <c r="M2" s="2030"/>
      <c r="N2" s="2030"/>
      <c r="O2" s="2030"/>
      <c r="P2" s="2030"/>
      <c r="Q2" s="2030"/>
      <c r="R2" s="2030"/>
      <c r="S2" s="2030"/>
      <c r="T2" s="2030"/>
      <c r="U2" s="2030"/>
      <c r="V2" s="2030"/>
    </row>
    <row r="3" spans="1:22" ht="14.25">
      <c r="A3" s="3604" t="s">
        <v>298</v>
      </c>
      <c r="B3" s="3605"/>
      <c r="C3" s="3605"/>
      <c r="D3" s="3605"/>
      <c r="E3" s="3605"/>
      <c r="F3" s="3605"/>
      <c r="G3" s="3605"/>
      <c r="H3" s="3605"/>
      <c r="I3" s="3605"/>
      <c r="J3" s="2031"/>
      <c r="K3" s="2030"/>
      <c r="L3" s="2030"/>
      <c r="M3" s="2030"/>
      <c r="N3" s="2030"/>
      <c r="O3" s="2030"/>
      <c r="P3" s="2030"/>
      <c r="Q3" s="2030"/>
      <c r="R3" s="2030"/>
      <c r="S3" s="2030"/>
      <c r="T3" s="2030"/>
      <c r="U3" s="2030"/>
      <c r="V3" s="2030"/>
    </row>
    <row r="4" spans="1:22" ht="14.25">
      <c r="A4" s="258" t="s">
        <v>299</v>
      </c>
      <c r="B4" s="259" t="s">
        <v>300</v>
      </c>
      <c r="C4" s="260" t="s">
        <v>3338</v>
      </c>
      <c r="D4" s="260" t="s">
        <v>3339</v>
      </c>
      <c r="E4" s="3576" t="s">
        <v>301</v>
      </c>
      <c r="F4" s="3577"/>
      <c r="G4" s="3577"/>
      <c r="H4" s="3577"/>
      <c r="I4" s="3606"/>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575" t="s">
        <v>302</v>
      </c>
      <c r="B5" s="3601">
        <v>25</v>
      </c>
      <c r="C5" s="3599"/>
      <c r="D5" s="3603"/>
      <c r="E5" s="261" t="s">
        <v>303</v>
      </c>
      <c r="F5" s="262"/>
      <c r="G5" s="262"/>
      <c r="H5" s="262"/>
      <c r="I5" s="263"/>
      <c r="J5" s="2031"/>
      <c r="K5" s="2030"/>
      <c r="L5" s="2030"/>
      <c r="M5" s="2030"/>
      <c r="N5" s="2030"/>
      <c r="O5" s="2030"/>
      <c r="P5" s="2030"/>
      <c r="Q5" s="2030"/>
      <c r="R5" s="2030"/>
      <c r="S5" s="2030"/>
      <c r="T5" s="2030"/>
      <c r="U5" s="2030"/>
      <c r="V5" s="2030"/>
    </row>
    <row r="6" spans="1:22" ht="14.25">
      <c r="A6" s="3575"/>
      <c r="B6" s="3601"/>
      <c r="C6" s="3602"/>
      <c r="D6" s="3603"/>
      <c r="E6" s="261" t="s">
        <v>304</v>
      </c>
      <c r="F6" s="262"/>
      <c r="G6" s="262"/>
      <c r="H6" s="262"/>
      <c r="I6" s="263"/>
      <c r="J6" s="2031"/>
      <c r="K6" s="2030"/>
      <c r="L6" s="2030"/>
      <c r="M6" s="2030"/>
      <c r="N6" s="2030"/>
      <c r="O6" s="2030"/>
      <c r="P6" s="2030"/>
      <c r="Q6" s="2030"/>
      <c r="R6" s="2030"/>
      <c r="S6" s="2030"/>
      <c r="T6" s="2030"/>
      <c r="U6" s="2030"/>
      <c r="V6" s="2030"/>
    </row>
    <row r="7" spans="1:22" ht="14.25">
      <c r="A7" s="3575"/>
      <c r="B7" s="3601"/>
      <c r="C7" s="3600"/>
      <c r="D7" s="3603"/>
      <c r="E7" s="261" t="s">
        <v>305</v>
      </c>
      <c r="F7" s="262"/>
      <c r="G7" s="262"/>
      <c r="H7" s="262"/>
      <c r="I7" s="263"/>
      <c r="J7" s="2031"/>
      <c r="K7" s="2030"/>
      <c r="L7" s="2030"/>
      <c r="M7" s="2030"/>
      <c r="N7" s="2030"/>
      <c r="O7" s="2030"/>
      <c r="P7" s="2030"/>
      <c r="Q7" s="2030"/>
      <c r="R7" s="2030"/>
      <c r="S7" s="2030"/>
      <c r="T7" s="2030"/>
      <c r="U7" s="2030"/>
      <c r="V7" s="2030"/>
    </row>
    <row r="8" spans="1:22" ht="14.25">
      <c r="A8" s="3575" t="s">
        <v>306</v>
      </c>
      <c r="B8" s="3601">
        <v>15</v>
      </c>
      <c r="C8" s="3599"/>
      <c r="D8" s="3603"/>
      <c r="E8" s="261" t="s">
        <v>307</v>
      </c>
      <c r="F8" s="262"/>
      <c r="G8" s="262"/>
      <c r="H8" s="262"/>
      <c r="I8" s="263"/>
      <c r="J8" s="2031"/>
      <c r="K8" s="2030"/>
      <c r="L8" s="2030"/>
      <c r="M8" s="2030"/>
      <c r="N8" s="2030"/>
      <c r="O8" s="2030"/>
      <c r="P8" s="2030"/>
      <c r="Q8" s="2030"/>
      <c r="R8" s="2030"/>
      <c r="S8" s="2030"/>
      <c r="T8" s="2030"/>
      <c r="U8" s="2030"/>
      <c r="V8" s="2030"/>
    </row>
    <row r="9" spans="1:22" ht="14.25">
      <c r="A9" s="3575"/>
      <c r="B9" s="3601"/>
      <c r="C9" s="3600"/>
      <c r="D9" s="3603"/>
      <c r="E9" s="261" t="s">
        <v>308</v>
      </c>
      <c r="F9" s="262"/>
      <c r="G9" s="262"/>
      <c r="H9" s="262"/>
      <c r="I9" s="263"/>
      <c r="J9" s="2031"/>
      <c r="K9" s="2030"/>
      <c r="L9" s="2030"/>
      <c r="M9" s="2030"/>
      <c r="N9" s="2030"/>
      <c r="O9" s="2030"/>
      <c r="P9" s="2030"/>
      <c r="Q9" s="2030"/>
      <c r="R9" s="2030"/>
      <c r="S9" s="2030"/>
      <c r="T9" s="2030"/>
      <c r="U9" s="2030"/>
      <c r="V9" s="2030"/>
    </row>
    <row r="10" spans="1:22" ht="14.25">
      <c r="A10" s="3575" t="s">
        <v>309</v>
      </c>
      <c r="B10" s="3601">
        <v>15</v>
      </c>
      <c r="C10" s="3599"/>
      <c r="D10" s="3603"/>
      <c r="E10" s="261" t="s">
        <v>310</v>
      </c>
      <c r="F10" s="262"/>
      <c r="G10" s="262"/>
      <c r="H10" s="262"/>
      <c r="I10" s="263"/>
      <c r="J10" s="2031"/>
      <c r="K10" s="2030"/>
      <c r="L10" s="2030"/>
      <c r="M10" s="2030"/>
      <c r="N10" s="2030"/>
      <c r="O10" s="2030"/>
      <c r="P10" s="2030"/>
      <c r="Q10" s="2030"/>
      <c r="R10" s="2030"/>
      <c r="S10" s="2030"/>
      <c r="T10" s="2030"/>
      <c r="U10" s="2030"/>
      <c r="V10" s="2030"/>
    </row>
    <row r="11" spans="1:22" ht="14.25">
      <c r="A11" s="3575"/>
      <c r="B11" s="3601"/>
      <c r="C11" s="3600"/>
      <c r="D11" s="3603"/>
      <c r="E11" s="261" t="s">
        <v>311</v>
      </c>
      <c r="F11" s="262"/>
      <c r="G11" s="262"/>
      <c r="H11" s="262"/>
      <c r="I11" s="263"/>
      <c r="J11" s="2031"/>
      <c r="K11" s="2030"/>
      <c r="L11" s="2030"/>
      <c r="M11" s="2030"/>
      <c r="N11" s="2030"/>
      <c r="O11" s="2030"/>
      <c r="P11" s="2030"/>
      <c r="Q11" s="2030"/>
      <c r="R11" s="2030"/>
      <c r="S11" s="2030"/>
      <c r="T11" s="2030"/>
      <c r="U11" s="2030"/>
      <c r="V11" s="2030"/>
    </row>
    <row r="12" spans="1:22" ht="14.25">
      <c r="A12" s="3575" t="s">
        <v>312</v>
      </c>
      <c r="B12" s="3601">
        <v>15</v>
      </c>
      <c r="C12" s="3599"/>
      <c r="D12" s="3603"/>
      <c r="E12" s="261" t="s">
        <v>313</v>
      </c>
      <c r="F12" s="262"/>
      <c r="G12" s="262"/>
      <c r="H12" s="262"/>
      <c r="I12" s="263"/>
      <c r="J12" s="2031"/>
      <c r="K12" s="2030"/>
      <c r="L12" s="2030"/>
      <c r="M12" s="2030"/>
      <c r="N12" s="2030"/>
      <c r="O12" s="2030"/>
      <c r="P12" s="2030"/>
      <c r="Q12" s="2030"/>
      <c r="R12" s="2030"/>
      <c r="S12" s="2030"/>
      <c r="T12" s="2030"/>
      <c r="U12" s="2030"/>
      <c r="V12" s="2030"/>
    </row>
    <row r="13" spans="1:22" ht="14.25">
      <c r="A13" s="3575"/>
      <c r="B13" s="3601"/>
      <c r="C13" s="3600"/>
      <c r="D13" s="3603"/>
      <c r="E13" s="261" t="s">
        <v>314</v>
      </c>
      <c r="F13" s="262"/>
      <c r="G13" s="262"/>
      <c r="H13" s="262"/>
      <c r="I13" s="263"/>
      <c r="J13" s="2031"/>
      <c r="K13" s="2030"/>
      <c r="L13" s="2030"/>
      <c r="M13" s="2030"/>
      <c r="N13" s="2030"/>
      <c r="O13" s="2030"/>
      <c r="P13" s="2030"/>
      <c r="Q13" s="2030"/>
      <c r="R13" s="2030"/>
      <c r="S13" s="2030"/>
      <c r="T13" s="2030"/>
      <c r="U13" s="2030"/>
      <c r="V13" s="2030"/>
    </row>
    <row r="14" spans="1:22" ht="14.25">
      <c r="A14" s="3575" t="s">
        <v>315</v>
      </c>
      <c r="B14" s="3601">
        <v>30</v>
      </c>
      <c r="C14" s="3599">
        <v>4</v>
      </c>
      <c r="D14" s="3603">
        <v>6</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575"/>
      <c r="B15" s="3601"/>
      <c r="C15" s="3602"/>
      <c r="D15" s="3603"/>
      <c r="E15" s="261" t="s">
        <v>317</v>
      </c>
      <c r="F15" s="262"/>
      <c r="G15" s="262"/>
      <c r="H15" s="262"/>
      <c r="I15" s="263"/>
      <c r="J15" s="2031"/>
      <c r="K15" s="2030"/>
      <c r="L15" s="2030"/>
      <c r="M15" s="2030"/>
      <c r="N15" s="2030"/>
      <c r="O15" s="2030"/>
      <c r="P15" s="2030"/>
      <c r="Q15" s="2030"/>
      <c r="R15" s="2030"/>
      <c r="S15" s="2030"/>
      <c r="T15" s="2030"/>
      <c r="U15" s="2030"/>
      <c r="V15" s="2030"/>
    </row>
    <row r="16" spans="1:22" ht="14.25">
      <c r="A16" s="3575"/>
      <c r="B16" s="3601"/>
      <c r="C16" s="3600"/>
      <c r="D16" s="3603"/>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4</v>
      </c>
      <c r="D17" s="265">
        <f>SUM(D5:D16)</f>
        <v>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128731</v>
      </c>
      <c r="D19" s="271">
        <f ca="1">SUMIF(INDIRECT("'"&amp;D4&amp;"'"&amp;"!A:A"),结果表!B19,INDIRECT("'"&amp;D4&amp;"'"&amp;"!B:B"))</f>
        <v>148563</v>
      </c>
      <c r="E19" s="268" t="s">
        <v>323</v>
      </c>
      <c r="F19" s="269" t="s">
        <v>322</v>
      </c>
      <c r="G19" s="272">
        <f ca="1">ROUND(C19*$C$18+D19*$D$18,0)</f>
        <v>140630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14749</v>
      </c>
      <c r="D20" s="277">
        <f ca="1">SUMIF(INDIRECT("'"&amp;D4&amp;"'"&amp;"!A:A"),结果表!B20,INDIRECT("'"&amp;D4&amp;"'"&amp;"!B:B"))</f>
        <v>17021</v>
      </c>
      <c r="E20" s="274"/>
      <c r="F20" s="275" t="s">
        <v>325</v>
      </c>
      <c r="G20" s="278">
        <f ca="1">ROUND(C20*$C$18+D20*$D$18,0)</f>
        <v>16112</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17699</v>
      </c>
      <c r="D21" s="151">
        <f ca="1">SUMIF(INDIRECT("'"&amp;D4&amp;"'"&amp;"!A:A"),结果表!B21,INDIRECT("'"&amp;D4&amp;"'"&amp;"!B:B"))</f>
        <v>20425</v>
      </c>
      <c r="E21" s="274"/>
      <c r="F21" s="280" t="s">
        <v>327</v>
      </c>
      <c r="G21" s="282">
        <f ca="1">ROUND(C21*$C$18+D21*$D$18,0)</f>
        <v>19335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0.15405768618281535</v>
      </c>
      <c r="E22" s="284"/>
      <c r="F22" s="285"/>
      <c r="G22" s="286">
        <f ca="1">ROUND(G19/('数据-汇总表'!D3/666.67),0)</f>
        <v>1289</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581"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582"/>
      <c r="B25" s="1321" t="s">
        <v>331</v>
      </c>
      <c r="C25" s="290">
        <f>IF(B30=0,0,C30)</f>
        <v>0</v>
      </c>
      <c r="D25" s="291"/>
      <c r="E25" s="311"/>
      <c r="F25" s="311"/>
      <c r="G25" s="311"/>
      <c r="H25" s="311"/>
      <c r="I25" s="311"/>
      <c r="J25" s="2030"/>
      <c r="K25" s="1255" t="str">
        <f ca="1">项目基本情况!B16&amp;"国有建设用地使用权价格："&amp;O38&amp;"万元"</f>
        <v>出让国有建设用地使用权价格：140630万元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大写金额：人民币壹拾肆亿零陆佰叁拾万元整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单位面积地价：19335元/平方米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楼面地价：16112元/平方米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抵押价格：140630万元</v>
      </c>
      <c r="L29" s="1252"/>
      <c r="M29" s="1252"/>
      <c r="N29" s="1252"/>
      <c r="O29" s="1251"/>
      <c r="P29" s="2030"/>
      <c r="V29" s="2030"/>
    </row>
    <row r="30" spans="1:26" ht="18.75" thickBot="1">
      <c r="A30" s="3163" t="s">
        <v>336</v>
      </c>
      <c r="B30" s="309"/>
      <c r="C30" s="309"/>
      <c r="D30" s="310"/>
      <c r="E30" s="3164" t="s">
        <v>2980</v>
      </c>
      <c r="F30" s="311"/>
      <c r="G30" s="311"/>
      <c r="H30" s="311"/>
      <c r="I30" s="311"/>
      <c r="J30" s="2030"/>
      <c r="K30" s="1258" t="str">
        <f ca="1">IF(K29="——","——","大写金额：人民币"&amp;NUMBERSTRING(INT(O39*10000),2)&amp;"元整")</f>
        <v>大写金额：人民币壹拾肆亿零陆佰叁拾万元整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140630</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16112</v>
      </c>
      <c r="D33" s="1386" t="s">
        <v>1693</v>
      </c>
      <c r="E33" s="3581"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1694</v>
      </c>
      <c r="C34" s="264">
        <f ca="1">ROUND(C32*10000/'数据-汇总表'!D3,0)</f>
        <v>19335</v>
      </c>
      <c r="D34" s="1388" t="s">
        <v>1693</v>
      </c>
      <c r="E34" s="3622"/>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1289</v>
      </c>
      <c r="D35" s="1391" t="s">
        <v>1695</v>
      </c>
      <c r="E35" s="3623"/>
      <c r="F35" s="301" t="s">
        <v>342</v>
      </c>
      <c r="G35" s="982"/>
      <c r="H35" s="981" t="s">
        <v>343</v>
      </c>
      <c r="I35" s="311"/>
      <c r="J35" s="2030"/>
      <c r="K35" s="3596" t="s">
        <v>350</v>
      </c>
      <c r="L35" s="3596" t="s">
        <v>351</v>
      </c>
      <c r="M35" s="1264" t="s">
        <v>352</v>
      </c>
      <c r="N35" s="3596" t="s">
        <v>353</v>
      </c>
      <c r="O35" s="3596" t="s">
        <v>354</v>
      </c>
      <c r="P35" s="2030"/>
      <c r="V35" s="2030"/>
    </row>
    <row r="36" spans="1:26" ht="16.5" customHeight="1">
      <c r="A36" s="303" t="s">
        <v>344</v>
      </c>
      <c r="B36" s="304" t="s">
        <v>333</v>
      </c>
      <c r="C36" s="305" t="s">
        <v>345</v>
      </c>
      <c r="D36" s="305" t="s">
        <v>346</v>
      </c>
      <c r="E36" s="306" t="s">
        <v>347</v>
      </c>
      <c r="F36" s="311"/>
      <c r="G36" s="311"/>
      <c r="H36" s="311"/>
      <c r="I36" s="311"/>
      <c r="J36" s="2032"/>
      <c r="K36" s="3597"/>
      <c r="L36" s="3597"/>
      <c r="M36" s="1266" t="s">
        <v>355</v>
      </c>
      <c r="N36" s="3597"/>
      <c r="O36" s="3597"/>
      <c r="P36" s="2030"/>
      <c r="V36" s="2030"/>
    </row>
    <row r="37" spans="1:26" ht="16.5" customHeight="1" thickBot="1">
      <c r="A37" s="1260" t="s">
        <v>348</v>
      </c>
      <c r="B37" s="307"/>
      <c r="C37" s="294"/>
      <c r="D37" s="294"/>
      <c r="E37" s="295"/>
      <c r="F37" s="311"/>
      <c r="G37" s="311"/>
      <c r="H37" s="311"/>
      <c r="I37" s="311"/>
      <c r="J37" s="2032"/>
      <c r="K37" s="3598"/>
      <c r="L37" s="3598"/>
      <c r="M37" s="1267"/>
      <c r="N37" s="3598"/>
      <c r="O37" s="3598"/>
      <c r="P37" s="2030"/>
      <c r="V37" s="2030"/>
    </row>
    <row r="38" spans="1:26" ht="16.5" customHeight="1" thickBot="1">
      <c r="A38" s="1260" t="s">
        <v>349</v>
      </c>
      <c r="B38" s="307"/>
      <c r="C38" s="294"/>
      <c r="D38" s="294"/>
      <c r="E38" s="295"/>
      <c r="F38" s="311"/>
      <c r="G38" s="311"/>
      <c r="H38" s="311"/>
      <c r="I38" s="311"/>
      <c r="J38" s="2032"/>
      <c r="K38" s="1268">
        <f>'数据-汇总表'!D3</f>
        <v>72735</v>
      </c>
      <c r="L38" s="1269">
        <f>'数据-汇总表'!E3</f>
        <v>87282</v>
      </c>
      <c r="M38" s="1269">
        <f ca="1">C34</f>
        <v>19335</v>
      </c>
      <c r="N38" s="1269">
        <f ca="1">C33</f>
        <v>16112</v>
      </c>
      <c r="O38" s="1270">
        <f ca="1">C32</f>
        <v>140630</v>
      </c>
      <c r="P38" s="2030"/>
      <c r="V38" s="2030"/>
    </row>
    <row r="39" spans="1:26" ht="16.5" customHeight="1" thickBot="1">
      <c r="A39" s="1265"/>
      <c r="B39" s="308"/>
      <c r="C39" s="309"/>
      <c r="D39" s="309"/>
      <c r="E39" s="310"/>
      <c r="F39" s="311"/>
      <c r="G39" s="311"/>
      <c r="H39" s="311"/>
      <c r="I39" s="311"/>
      <c r="J39" s="2032"/>
      <c r="K39" s="3641" t="str">
        <f>MID(A44,3,LEN(A44)-2)</f>
        <v>抵押价格</v>
      </c>
      <c r="L39" s="3642"/>
      <c r="M39" s="3642"/>
      <c r="N39" s="3643"/>
      <c r="O39" s="1393">
        <f ca="1">C44</f>
        <v>140630</v>
      </c>
      <c r="P39" s="2030"/>
      <c r="V39" s="2030"/>
    </row>
    <row r="40" spans="1:26" ht="19.5" thickBot="1">
      <c r="A40" s="104" t="s">
        <v>874</v>
      </c>
      <c r="B40" s="311"/>
      <c r="C40" s="311"/>
      <c r="D40" s="311"/>
      <c r="E40" s="311"/>
      <c r="F40" s="311"/>
      <c r="G40" s="311"/>
      <c r="H40" s="311"/>
      <c r="I40" s="311"/>
      <c r="J40" s="2032"/>
      <c r="K40" s="3641" t="str">
        <f t="shared" ref="K40:K41" si="0">MID(A45,3,LEN(A45)-2)</f>
        <v/>
      </c>
      <c r="L40" s="3642"/>
      <c r="M40" s="3642"/>
      <c r="N40" s="3643"/>
      <c r="O40" s="1393" t="str">
        <f>C45</f>
        <v>——</v>
      </c>
      <c r="P40" s="2030"/>
      <c r="V40" s="2030"/>
    </row>
    <row r="41" spans="1:26" ht="16.5" thickBot="1">
      <c r="A41" s="312" t="s">
        <v>356</v>
      </c>
      <c r="B41" s="313"/>
      <c r="C41" s="314" t="s">
        <v>357</v>
      </c>
      <c r="D41" s="315" t="s">
        <v>358</v>
      </c>
      <c r="E41" s="315" t="s">
        <v>359</v>
      </c>
      <c r="F41" s="316" t="s">
        <v>360</v>
      </c>
      <c r="G41" s="311"/>
      <c r="H41" s="311"/>
      <c r="I41" s="311"/>
      <c r="J41" s="2032"/>
      <c r="K41" s="3641" t="str">
        <f t="shared" si="0"/>
        <v/>
      </c>
      <c r="L41" s="3642"/>
      <c r="M41" s="3642"/>
      <c r="N41" s="3643"/>
      <c r="O41" s="1393" t="str">
        <f>C46</f>
        <v>——</v>
      </c>
      <c r="P41" s="2030"/>
      <c r="V41" s="2030"/>
    </row>
    <row r="42" spans="1:26" ht="29.25">
      <c r="A42" s="3583" t="s">
        <v>2071</v>
      </c>
      <c r="B42" s="3584"/>
      <c r="C42" s="264">
        <f ca="1">C32</f>
        <v>140630</v>
      </c>
      <c r="D42" s="317">
        <f ca="1">C33</f>
        <v>16112</v>
      </c>
      <c r="E42" s="317">
        <f ca="1">C34</f>
        <v>19335</v>
      </c>
      <c r="F42" s="318">
        <f ca="1">C35</f>
        <v>1289</v>
      </c>
      <c r="G42" s="311"/>
      <c r="H42" s="311"/>
      <c r="I42" s="319"/>
      <c r="J42" s="2032"/>
      <c r="K42" s="1271" t="s">
        <v>361</v>
      </c>
      <c r="L42" s="2049" t="s">
        <v>362</v>
      </c>
      <c r="M42" s="1272" t="s">
        <v>363</v>
      </c>
      <c r="N42" s="2050" t="s">
        <v>364</v>
      </c>
      <c r="O42" s="2051" t="s">
        <v>365</v>
      </c>
      <c r="P42" s="2030"/>
      <c r="V42" s="2030"/>
    </row>
    <row r="43" spans="1:26" ht="30">
      <c r="A43" s="3594" t="s">
        <v>2737</v>
      </c>
      <c r="B43" s="3595"/>
      <c r="C43" s="264">
        <f>IF(H33="正常操作",G33+G34+G35,G34+G35)</f>
        <v>0</v>
      </c>
      <c r="D43" s="317" t="s">
        <v>43</v>
      </c>
      <c r="E43" s="317" t="s">
        <v>44</v>
      </c>
      <c r="F43" s="318" t="s">
        <v>44</v>
      </c>
      <c r="G43" s="2893" t="s">
        <v>953</v>
      </c>
      <c r="H43" s="311"/>
      <c r="I43" s="319"/>
      <c r="J43" s="2032"/>
      <c r="K43" s="1273" t="str">
        <f>C4</f>
        <v>剩余法-待开发</v>
      </c>
      <c r="L43" s="1274">
        <f ca="1">IF(L42="估价结果/万元",C19,C20)</f>
        <v>128731</v>
      </c>
      <c r="M43" s="1275">
        <f>C18</f>
        <v>0.4</v>
      </c>
      <c r="N43" s="1276">
        <f ca="1">IF(N42="测算结果/万元",G19,G20)</f>
        <v>140630</v>
      </c>
      <c r="O43" s="1277">
        <f ca="1">IF(O42="最终结果/万元",C32,C33)</f>
        <v>140630</v>
      </c>
      <c r="P43" s="2030"/>
      <c r="V43" s="2030"/>
    </row>
    <row r="44" spans="1:26" ht="30.75" thickBot="1">
      <c r="A44" s="3583" t="str">
        <f>IF(OR(项目基本情况!E8="抵押价格",项目基本情况!E8="已注销及未注销"),"3.抵押价格","——")</f>
        <v>3.抵押价格</v>
      </c>
      <c r="B44" s="3584"/>
      <c r="C44" s="264">
        <f ca="1">IF(A44="——","——",C42-C43)</f>
        <v>140630</v>
      </c>
      <c r="D44" s="317">
        <f ca="1">ROUND(C44*10000/'数据-汇总表'!E3,0)</f>
        <v>16112</v>
      </c>
      <c r="E44" s="317">
        <f ca="1">ROUND(C44*10000/'数据-汇总表'!D3,0)</f>
        <v>19335</v>
      </c>
      <c r="F44" s="318">
        <f ca="1">ROUND(C44/('数据-汇总表'!D3/666.67),0)</f>
        <v>1289</v>
      </c>
      <c r="G44" s="311"/>
      <c r="H44" s="311"/>
      <c r="I44" s="319"/>
      <c r="J44" s="2032"/>
      <c r="K44" s="1278" t="str">
        <f>D4</f>
        <v>比较法-住宅、综合</v>
      </c>
      <c r="L44" s="1279">
        <f ca="1">IF(L42="估价结果/万元",D19,D20)</f>
        <v>148563</v>
      </c>
      <c r="M44" s="1280">
        <f>D18</f>
        <v>0.6</v>
      </c>
      <c r="N44" s="1281"/>
      <c r="O44" s="1282"/>
      <c r="P44" s="2030"/>
      <c r="V44" s="2030"/>
    </row>
    <row r="45" spans="1:26" ht="15">
      <c r="A45" s="3589" t="str">
        <f>IF(项目基本情况!E8="已注销及未注销","4.抵押担保权已注销时的抵押价格",IF(项目基本情况!E8="已注销","3.抵押担保权已注销时的抵押价格","——"))</f>
        <v>——</v>
      </c>
      <c r="B45" s="359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585" t="str">
        <f>IF(项目基本情况!E9="抵押净值",IF(A45="——","4.抵押净值","5.抵押净值"),"——")</f>
        <v>——</v>
      </c>
      <c r="B46" s="3586"/>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30" t="s">
        <v>374</v>
      </c>
      <c r="B63" s="3631"/>
      <c r="C63" s="3632"/>
      <c r="D63" s="341">
        <f ca="1">ROUND(C42*F63,0)</f>
        <v>84378</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591" t="s">
        <v>378</v>
      </c>
      <c r="B64" s="3592"/>
      <c r="C64" s="3592"/>
      <c r="D64" s="3592"/>
      <c r="E64" s="3592"/>
      <c r="F64" s="3592"/>
      <c r="G64" s="3593"/>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587" t="s">
        <v>386</v>
      </c>
      <c r="B66" s="3588"/>
      <c r="C66" s="3588"/>
      <c r="D66" s="261">
        <f ca="1">IF(H66="情况1",0,IF(H66="情况2",D70,IF(H66="情况3",D71,IF(H66="情况4",D72))))</f>
        <v>4500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645" t="s">
        <v>385</v>
      </c>
      <c r="M66" s="3646"/>
      <c r="N66" s="2484"/>
      <c r="O66" s="2485"/>
      <c r="P66" s="2486"/>
      <c r="Q66" s="2030"/>
      <c r="R66" s="2030"/>
      <c r="S66" s="2030"/>
      <c r="T66" s="2030"/>
      <c r="U66" s="2030"/>
      <c r="V66" s="2030"/>
    </row>
    <row r="67" spans="1:22" ht="25.5" customHeight="1">
      <c r="A67" s="352" t="s">
        <v>390</v>
      </c>
      <c r="B67" s="3578" t="s">
        <v>391</v>
      </c>
      <c r="C67" s="3578"/>
      <c r="D67" s="353">
        <v>0</v>
      </c>
      <c r="E67" s="41" t="s">
        <v>392</v>
      </c>
      <c r="F67" s="62" t="s">
        <v>21</v>
      </c>
      <c r="G67" s="3633"/>
      <c r="H67" s="311"/>
      <c r="I67" s="1292"/>
      <c r="J67" s="2037"/>
      <c r="K67" s="1978">
        <v>2</v>
      </c>
      <c r="L67" s="3644" t="s">
        <v>389</v>
      </c>
      <c r="M67" s="3644"/>
      <c r="N67" s="1325">
        <f>'数据-取费表'!B2</f>
        <v>43174</v>
      </c>
      <c r="O67" s="1325"/>
      <c r="P67" s="1325"/>
      <c r="Q67" s="2030"/>
      <c r="R67" s="2030"/>
      <c r="S67" s="2030"/>
      <c r="T67" s="2030"/>
      <c r="U67" s="2030"/>
      <c r="V67" s="2030"/>
    </row>
    <row r="68" spans="1:22" ht="25.5" customHeight="1">
      <c r="A68" s="354"/>
      <c r="B68" s="3578" t="s">
        <v>394</v>
      </c>
      <c r="C68" s="3578"/>
      <c r="D68" s="355"/>
      <c r="E68" s="77"/>
      <c r="F68" s="356"/>
      <c r="G68" s="3634"/>
      <c r="H68" s="311"/>
      <c r="I68" s="1292"/>
      <c r="J68" s="2037"/>
      <c r="K68" s="1978">
        <v>3</v>
      </c>
      <c r="L68" s="3644" t="s">
        <v>393</v>
      </c>
      <c r="M68" s="3644"/>
      <c r="N68" s="1293">
        <f ca="1">C42</f>
        <v>140630</v>
      </c>
      <c r="O68" s="1293"/>
      <c r="P68" s="1293"/>
      <c r="Q68" s="2030"/>
      <c r="R68" s="2030"/>
      <c r="S68" s="2030"/>
      <c r="T68" s="2030"/>
      <c r="U68" s="2030"/>
      <c r="V68" s="2030"/>
    </row>
    <row r="69" spans="1:22" ht="12" customHeight="1">
      <c r="A69" s="357"/>
      <c r="B69" s="3578" t="s">
        <v>395</v>
      </c>
      <c r="C69" s="3578"/>
      <c r="D69" s="358"/>
      <c r="E69" s="73"/>
      <c r="F69" s="356"/>
      <c r="G69" s="3635"/>
      <c r="H69" s="311"/>
      <c r="I69" s="1292"/>
      <c r="J69" s="2037"/>
      <c r="K69" s="1294">
        <v>4</v>
      </c>
      <c r="L69" s="3649" t="s">
        <v>2890</v>
      </c>
      <c r="M69" s="3650"/>
      <c r="N69" s="1295">
        <f ca="1">C44</f>
        <v>140630</v>
      </c>
      <c r="O69" s="1295"/>
      <c r="P69" s="1295"/>
      <c r="Q69" s="2030"/>
      <c r="R69" s="2030"/>
      <c r="S69" s="2030"/>
      <c r="T69" s="2030"/>
      <c r="U69" s="2030"/>
      <c r="V69" s="2030"/>
    </row>
    <row r="70" spans="1:22" ht="24" customHeight="1">
      <c r="A70" s="359" t="s">
        <v>396</v>
      </c>
      <c r="B70" s="3578" t="s">
        <v>397</v>
      </c>
      <c r="C70" s="3578"/>
      <c r="D70" s="358">
        <f ca="1">ROUND(D63*'数据-取费表'!B41/(1+'数据-取费表'!C42),0)</f>
        <v>4500</v>
      </c>
      <c r="E70" s="17" t="s">
        <v>398</v>
      </c>
      <c r="F70" s="360">
        <f>'数据-取费表'!B41</f>
        <v>5.6000000000000001E-2</v>
      </c>
      <c r="G70" s="361"/>
      <c r="H70" s="311"/>
      <c r="I70" s="1292"/>
      <c r="J70" s="2037"/>
      <c r="K70" s="3089"/>
      <c r="L70" s="3090"/>
      <c r="M70" s="3090"/>
      <c r="N70" s="3091" t="s">
        <v>2895</v>
      </c>
      <c r="O70" s="3090"/>
      <c r="P70" s="3092"/>
      <c r="Q70" s="2030"/>
      <c r="R70" s="2030"/>
      <c r="S70" s="2030"/>
      <c r="T70" s="2030"/>
      <c r="U70" s="2030"/>
      <c r="V70" s="2030"/>
    </row>
    <row r="71" spans="1:22" ht="12" customHeight="1">
      <c r="A71" s="359" t="s">
        <v>404</v>
      </c>
      <c r="B71" s="3579" t="s">
        <v>405</v>
      </c>
      <c r="C71" s="3580"/>
      <c r="D71" s="358">
        <f ca="1">ROUND(D63*'数据-取费表'!B41/(1+'数据-取费表'!C42),0)</f>
        <v>4500</v>
      </c>
      <c r="E71" s="17" t="s">
        <v>398</v>
      </c>
      <c r="F71" s="360">
        <f>'数据-取费表'!B41</f>
        <v>5.6000000000000001E-2</v>
      </c>
      <c r="G71" s="361"/>
      <c r="H71" s="311"/>
      <c r="I71" s="1292"/>
      <c r="J71" s="2037"/>
      <c r="K71" s="3088" t="s">
        <v>399</v>
      </c>
      <c r="L71" s="3651" t="s">
        <v>400</v>
      </c>
      <c r="M71" s="3651"/>
      <c r="N71" s="3088" t="s">
        <v>401</v>
      </c>
      <c r="O71" s="3088" t="s">
        <v>402</v>
      </c>
      <c r="P71" s="3088" t="s">
        <v>403</v>
      </c>
      <c r="Q71" s="2030"/>
      <c r="R71" s="2030"/>
      <c r="S71" s="2030"/>
      <c r="T71" s="2030"/>
      <c r="U71" s="2030"/>
      <c r="V71" s="2030"/>
    </row>
    <row r="72" spans="1:22" ht="12" customHeight="1">
      <c r="A72" s="359" t="s">
        <v>407</v>
      </c>
      <c r="B72" s="3579" t="s">
        <v>408</v>
      </c>
      <c r="C72" s="3580"/>
      <c r="D72" s="358">
        <f ca="1">C86</f>
        <v>4388</v>
      </c>
      <c r="E72" s="73" t="s">
        <v>409</v>
      </c>
      <c r="F72" s="360">
        <f>'数据-取费表'!B41</f>
        <v>5.6000000000000001E-2</v>
      </c>
      <c r="G72" s="361"/>
      <c r="H72" s="1298"/>
      <c r="I72" s="1292"/>
      <c r="J72" s="2037"/>
      <c r="K72" s="1978">
        <v>1</v>
      </c>
      <c r="L72" s="3626" t="s">
        <v>406</v>
      </c>
      <c r="M72" s="3626"/>
      <c r="N72" s="1296">
        <f ca="1">D66</f>
        <v>4500</v>
      </c>
      <c r="O72" s="1861" t="str">
        <f>E66</f>
        <v>销售额×税（费）率</v>
      </c>
      <c r="P72" s="1297">
        <f>F66</f>
        <v>5.6000000000000001E-2</v>
      </c>
      <c r="Q72" s="2030"/>
      <c r="R72" s="2030"/>
      <c r="S72" s="2030"/>
      <c r="T72" s="2030"/>
      <c r="U72" s="2030"/>
      <c r="V72" s="2030"/>
    </row>
    <row r="73" spans="1:22" ht="24" customHeight="1">
      <c r="A73" s="3620" t="s">
        <v>411</v>
      </c>
      <c r="B73" s="3588"/>
      <c r="C73" s="3588"/>
      <c r="D73" s="362">
        <f>IF(H73="个人住宅",0,ROUND(D63*I73,0))</f>
        <v>0</v>
      </c>
      <c r="E73" s="17" t="s">
        <v>412</v>
      </c>
      <c r="F73" s="360" t="str">
        <f>IF(H73="正常",I73,"免征")</f>
        <v>免征</v>
      </c>
      <c r="G73" s="361"/>
      <c r="H73" s="191" t="s">
        <v>2461</v>
      </c>
      <c r="I73" s="360">
        <f>'数据-取费表'!B49</f>
        <v>5.0000000000000001E-4</v>
      </c>
      <c r="J73" s="2037"/>
      <c r="K73" s="1978">
        <v>2</v>
      </c>
      <c r="L73" s="3626" t="s">
        <v>410</v>
      </c>
      <c r="M73" s="3626"/>
      <c r="N73" s="1296">
        <f t="shared" ref="N73:P74" si="1">D73</f>
        <v>0</v>
      </c>
      <c r="O73" s="1861" t="str">
        <f t="shared" si="1"/>
        <v>销售额×税（费）率</v>
      </c>
      <c r="P73" s="1297" t="str">
        <f t="shared" si="1"/>
        <v>免征</v>
      </c>
      <c r="Q73" s="2030"/>
      <c r="R73" s="2030"/>
      <c r="S73" s="2030"/>
      <c r="T73" s="2030"/>
      <c r="U73" s="2030"/>
      <c r="V73" s="2030"/>
    </row>
    <row r="74" spans="1:22" ht="24.75">
      <c r="A74" s="3620" t="s">
        <v>415</v>
      </c>
      <c r="B74" s="3588"/>
      <c r="C74" s="3588"/>
      <c r="D74" s="362">
        <f ca="1">IF(H74="个人住宅",D75,D76)</f>
        <v>47103</v>
      </c>
      <c r="E74" s="17" t="s">
        <v>416</v>
      </c>
      <c r="F74" s="360" t="str">
        <f>IF(H74="正常",F76,"免征")</f>
        <v>——</v>
      </c>
      <c r="G74" s="983" t="s">
        <v>417</v>
      </c>
      <c r="H74" s="363" t="s">
        <v>413</v>
      </c>
      <c r="I74" s="42"/>
      <c r="J74" s="2037"/>
      <c r="K74" s="1978">
        <v>3</v>
      </c>
      <c r="L74" s="3626" t="s">
        <v>414</v>
      </c>
      <c r="M74" s="3626"/>
      <c r="N74" s="1296">
        <f t="shared" ca="1" si="1"/>
        <v>47103</v>
      </c>
      <c r="O74" s="1861" t="str">
        <f t="shared" si="1"/>
        <v>增值额×税（费）率</v>
      </c>
      <c r="P74" s="1299" t="str">
        <f t="shared" si="1"/>
        <v>——</v>
      </c>
      <c r="Q74" s="2030"/>
      <c r="R74" s="2030"/>
      <c r="S74" s="2030"/>
      <c r="T74" s="2030"/>
      <c r="U74" s="2030"/>
      <c r="V74" s="2030"/>
    </row>
    <row r="75" spans="1:22" ht="24">
      <c r="A75" s="359" t="s">
        <v>418</v>
      </c>
      <c r="B75" s="3576" t="s">
        <v>419</v>
      </c>
      <c r="C75" s="3606"/>
      <c r="D75" s="364">
        <v>0</v>
      </c>
      <c r="E75" s="41" t="s">
        <v>420</v>
      </c>
      <c r="F75" s="365"/>
      <c r="G75" s="361"/>
      <c r="H75" s="42"/>
      <c r="I75" s="42"/>
      <c r="J75" s="2037"/>
      <c r="K75" s="3081">
        <f>IF(H77="非个人房产","",4)</f>
        <v>4</v>
      </c>
      <c r="L75" s="3626" t="str">
        <f>IF(H77="非个人房产","——","个人所得税")</f>
        <v>个人所得税</v>
      </c>
      <c r="M75" s="3626"/>
      <c r="N75" s="1300">
        <f ca="1">D77</f>
        <v>844</v>
      </c>
      <c r="O75" s="1874" t="str">
        <f>E77</f>
        <v>销售额×税（费）率</v>
      </c>
      <c r="P75" s="1301">
        <f>F77</f>
        <v>0.01</v>
      </c>
      <c r="Q75" s="2030"/>
      <c r="R75" s="2030"/>
      <c r="S75" s="2030"/>
      <c r="T75" s="2030"/>
      <c r="U75" s="2030"/>
      <c r="V75" s="2030"/>
    </row>
    <row r="76" spans="1:22" ht="24.75">
      <c r="A76" s="359" t="s">
        <v>396</v>
      </c>
      <c r="B76" s="3576" t="s">
        <v>422</v>
      </c>
      <c r="C76" s="3577"/>
      <c r="D76" s="362">
        <f ca="1">IF(H76="转让取得",C99,C115)</f>
        <v>47103</v>
      </c>
      <c r="E76" s="17" t="s">
        <v>423</v>
      </c>
      <c r="F76" s="53" t="s">
        <v>21</v>
      </c>
      <c r="G76" s="361"/>
      <c r="H76" s="363" t="s">
        <v>424</v>
      </c>
      <c r="I76" s="42"/>
      <c r="J76" s="2037"/>
      <c r="K76" s="3081" t="str">
        <f>IF(项目基本情况!K6="上海银行",IF(K75="",4,K75+1),"")</f>
        <v/>
      </c>
      <c r="L76" s="3637" t="str">
        <f>IF(项目基本情况!K6="上海银行","其他处置费用","")</f>
        <v/>
      </c>
      <c r="M76" s="3638"/>
      <c r="N76" s="1296" t="str">
        <f>IF(项目基本情况!K6="上海银行",N89,"")</f>
        <v/>
      </c>
      <c r="O76" s="3639" t="str">
        <f>IF(项目基本情况!K6="上海银行","包含处置中涉及的律师、诉讼、拍卖、评估等费用","")</f>
        <v/>
      </c>
      <c r="P76" s="3640"/>
      <c r="Q76" s="2030"/>
      <c r="R76" s="2030"/>
      <c r="S76" s="2030"/>
      <c r="T76" s="2030"/>
      <c r="U76" s="2030"/>
      <c r="V76" s="2030"/>
    </row>
    <row r="77" spans="1:22" ht="26.25" thickBot="1">
      <c r="A77" s="3628" t="s">
        <v>426</v>
      </c>
      <c r="B77" s="3629"/>
      <c r="C77" s="3629"/>
      <c r="D77" s="366">
        <f ca="1">IF(H77="非个人房产","——",IF(H77="个人住宅",0,ROUND(D63*I77,0)))</f>
        <v>844</v>
      </c>
      <c r="E77" s="367" t="str">
        <f>IF(H77="非个人房产","——","销售额×税（费）率")</f>
        <v>销售额×税（费）率</v>
      </c>
      <c r="F77" s="368">
        <f>IF(H77="非个人房产","——",IF(H77="个人住宅","免征",I77))</f>
        <v>0.01</v>
      </c>
      <c r="G77" s="984" t="s">
        <v>417</v>
      </c>
      <c r="H77" s="363" t="s">
        <v>2891</v>
      </c>
      <c r="I77" s="369">
        <v>0.01</v>
      </c>
      <c r="J77" s="2037"/>
      <c r="K77" s="3627">
        <f>IF(AND(K75="",K76=""),4,IF(项目基本情况!K6="上海银行",K76+1,K75+1))</f>
        <v>5</v>
      </c>
      <c r="L77" s="3626" t="s">
        <v>2892</v>
      </c>
      <c r="M77" s="3087" t="s">
        <v>421</v>
      </c>
      <c r="N77" s="1302"/>
      <c r="O77" s="1303">
        <f ca="1">SUMIF(N72:N76,"&lt;9e307")</f>
        <v>52447</v>
      </c>
      <c r="P77" s="1304"/>
      <c r="Q77" s="3085">
        <f ca="1">O77/N69</f>
        <v>0.37294318424233808</v>
      </c>
      <c r="R77" s="2030"/>
      <c r="S77" s="2030"/>
      <c r="T77" s="2030"/>
      <c r="U77" s="2030"/>
      <c r="V77" s="2030"/>
    </row>
    <row r="78" spans="1:22" ht="12" customHeight="1">
      <c r="A78" s="1305"/>
      <c r="B78" s="311"/>
      <c r="C78" s="311"/>
      <c r="D78" s="311"/>
      <c r="E78" s="42"/>
      <c r="F78" s="42"/>
      <c r="G78" s="42"/>
      <c r="H78" s="1003"/>
      <c r="I78" s="311"/>
      <c r="J78" s="2037"/>
      <c r="K78" s="3627"/>
      <c r="L78" s="3626"/>
      <c r="M78" s="3087" t="s">
        <v>425</v>
      </c>
      <c r="N78" s="1302"/>
      <c r="O78" s="1303" t="str">
        <f ca="1">NUMBERSTRING(INT(O77*10000),2)&amp;"元整"</f>
        <v>伍亿贰仟肆佰肆拾柒万元整</v>
      </c>
      <c r="P78" s="1304"/>
      <c r="Q78" s="2030"/>
      <c r="R78" s="2030"/>
      <c r="S78" s="2030"/>
      <c r="T78" s="2030"/>
      <c r="U78" s="2030"/>
      <c r="V78" s="2030"/>
    </row>
    <row r="79" spans="1:22" ht="13.5" thickBot="1">
      <c r="A79" s="3621" t="s">
        <v>427</v>
      </c>
      <c r="B79" s="3621"/>
      <c r="C79" s="3621"/>
      <c r="D79" s="3621"/>
      <c r="E79" s="3621"/>
      <c r="F79" s="42"/>
      <c r="G79" s="42"/>
      <c r="H79" s="1003"/>
      <c r="I79" s="311"/>
      <c r="J79" s="2037"/>
      <c r="K79" s="3647">
        <f>K77+1</f>
        <v>6</v>
      </c>
      <c r="L79" s="3626" t="s">
        <v>2893</v>
      </c>
      <c r="M79" s="3087" t="s">
        <v>421</v>
      </c>
      <c r="N79" s="1302"/>
      <c r="O79" s="1303">
        <f ca="1">N69-O77</f>
        <v>88183</v>
      </c>
      <c r="P79" s="1304"/>
      <c r="Q79" s="2030"/>
      <c r="R79" s="2030"/>
      <c r="S79" s="2030"/>
      <c r="T79" s="2030"/>
      <c r="U79" s="2030"/>
      <c r="V79" s="2030"/>
    </row>
    <row r="80" spans="1:22" ht="25.5">
      <c r="A80" s="3616" t="s">
        <v>428</v>
      </c>
      <c r="B80" s="3617"/>
      <c r="C80" s="994"/>
      <c r="D80" s="994" t="s">
        <v>429</v>
      </c>
      <c r="E80" s="370" t="s">
        <v>430</v>
      </c>
      <c r="F80" s="42"/>
      <c r="G80" s="42"/>
      <c r="H80" s="1003"/>
      <c r="I80" s="311"/>
      <c r="J80" s="2030"/>
      <c r="K80" s="3648"/>
      <c r="L80" s="3626"/>
      <c r="M80" s="3087" t="s">
        <v>425</v>
      </c>
      <c r="N80" s="1302"/>
      <c r="O80" s="1303" t="str">
        <f ca="1">NUMBERSTRING(INT(O79*10000),2)&amp;"元整"</f>
        <v>捌亿捌仟壹佰捌拾叁万元整</v>
      </c>
      <c r="P80" s="1304"/>
      <c r="Q80" s="2030"/>
      <c r="R80" s="2030"/>
      <c r="S80" s="2030"/>
      <c r="T80" s="2030"/>
      <c r="U80" s="2030"/>
      <c r="V80" s="2030"/>
    </row>
    <row r="81" spans="1:26" ht="13.5" thickBot="1">
      <c r="A81" s="381" t="s">
        <v>1825</v>
      </c>
      <c r="B81" s="371" t="s">
        <v>431</v>
      </c>
      <c r="C81" s="372">
        <f ca="1">ROUND((C82+C83)/(1+'数据-取费表'!C42),0)</f>
        <v>80360</v>
      </c>
      <c r="D81" s="373"/>
      <c r="E81" s="374"/>
      <c r="F81" s="42"/>
      <c r="G81" s="42"/>
      <c r="H81" s="1003"/>
      <c r="I81" s="311"/>
      <c r="J81" s="2030"/>
      <c r="K81" s="3081">
        <f>K79+1</f>
        <v>7</v>
      </c>
      <c r="L81" s="3624" t="s">
        <v>2894</v>
      </c>
      <c r="M81" s="3625"/>
      <c r="N81" s="1306"/>
      <c r="O81" s="1307">
        <f ca="1">ROUND(O79*10000/'数据-汇总表'!E3,0)</f>
        <v>10103</v>
      </c>
      <c r="P81" s="1308"/>
      <c r="Q81" s="2030"/>
      <c r="R81" s="2030"/>
      <c r="S81" s="2030"/>
      <c r="T81" s="2030"/>
      <c r="U81" s="2030"/>
      <c r="V81" s="2030"/>
    </row>
    <row r="82" spans="1:26" ht="13.5" thickTop="1">
      <c r="A82" s="375" t="s">
        <v>1826</v>
      </c>
      <c r="B82" s="376" t="s">
        <v>432</v>
      </c>
      <c r="C82" s="377">
        <f ca="1">D63</f>
        <v>84378</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636" t="s">
        <v>2881</v>
      </c>
      <c r="L83" s="3093" t="s">
        <v>2882</v>
      </c>
      <c r="M83" s="3083">
        <f ca="1">IF(N69&gt;10000,N69*0.5%,IF(AND(N69&gt;1000,N69&lt;=10000),N69*1%,IF(AND(N69&gt;100,N69&lt;=1000),N69*3%,IF(AND(N69&gt;10,N69&lt;=100),N69*5%,N69*8%))))</f>
        <v>703.15</v>
      </c>
      <c r="N83" s="53">
        <f ca="1">ROUND(M83,1)</f>
        <v>703.2</v>
      </c>
      <c r="O83" s="3086"/>
      <c r="P83" s="2030"/>
      <c r="Q83" s="2030"/>
      <c r="R83" s="2030"/>
      <c r="S83" s="2030"/>
      <c r="T83" s="2030"/>
      <c r="U83" s="2030"/>
      <c r="V83" s="2030"/>
    </row>
    <row r="84" spans="1:26" ht="12.75">
      <c r="A84" s="381" t="s">
        <v>1828</v>
      </c>
      <c r="B84" s="382" t="s">
        <v>434</v>
      </c>
      <c r="C84" s="383">
        <v>2000</v>
      </c>
      <c r="D84" s="384" t="s">
        <v>19</v>
      </c>
      <c r="E84" s="3128" t="s">
        <v>2951</v>
      </c>
      <c r="F84" s="42"/>
      <c r="G84" s="42"/>
      <c r="H84" s="1003"/>
      <c r="I84" s="311"/>
      <c r="J84" s="2030"/>
      <c r="K84" s="3636"/>
      <c r="L84" s="3093" t="s">
        <v>2883</v>
      </c>
      <c r="M84" s="3083">
        <f ca="1">IF(N69&gt;2000,N69*0.5%,IF(AND(N69&gt;1000,N69&lt;=2000),N69*0.6%,IF(AND(N69&gt;500,N69&lt;=1000),N69*0.7%,IF(AND(N69&gt;200,N69&lt;=500),N69*0.8%,IF(AND(N69&gt;100,N69&lt;=200),N69*0.9%,IF(AND(N69&gt;50,N69&lt;=100),N69*1%,IF(AND(N69&gt;20,N69&lt;=50),N69*1.5%,IF(AND(N69&gt;10,N69&lt;=20),N69*2%,IF(AND(N69&gt;1,N69&lt;=10),N69*2.5%)))))))))</f>
        <v>703.15</v>
      </c>
      <c r="N84" s="53">
        <f t="shared" ref="N84:N85" ca="1" si="2">ROUND(M84,1)</f>
        <v>703.2</v>
      </c>
      <c r="O84" s="2030" t="s">
        <v>2884</v>
      </c>
      <c r="P84" s="2030"/>
      <c r="Q84" s="2030"/>
      <c r="R84" s="2030"/>
      <c r="S84" s="2030"/>
      <c r="T84" s="2030"/>
      <c r="U84" s="2030"/>
      <c r="V84" s="2030"/>
    </row>
    <row r="85" spans="1:26" ht="12.75">
      <c r="A85" s="381" t="s">
        <v>1829</v>
      </c>
      <c r="B85" s="382" t="s">
        <v>435</v>
      </c>
      <c r="C85" s="385">
        <f ca="1">C81-C84</f>
        <v>78360</v>
      </c>
      <c r="D85" s="378" t="s">
        <v>19</v>
      </c>
      <c r="E85" s="379"/>
      <c r="F85" s="42"/>
      <c r="G85" s="42"/>
      <c r="H85" s="1003"/>
      <c r="I85" s="311"/>
      <c r="J85" s="2030"/>
      <c r="K85" s="3636"/>
      <c r="L85" s="3093" t="s">
        <v>2885</v>
      </c>
      <c r="M85" s="3083">
        <f ca="1">IF(N69&gt;1000,N69*0.1%,IF(AND(N69&gt;500,N69&lt;=1000),N69*0.5%,IF(AND(N69&gt;50,N69&lt;=500),N69*1%,IF(AND(N69&gt;1,N69&lt;=50),N69*1.5%))))</f>
        <v>140.63</v>
      </c>
      <c r="N85" s="53">
        <f t="shared" ca="1" si="2"/>
        <v>140.6</v>
      </c>
      <c r="O85" s="2030" t="s">
        <v>2884</v>
      </c>
      <c r="P85" s="2030"/>
      <c r="Q85" s="2030"/>
      <c r="R85" s="2030"/>
      <c r="S85" s="2030"/>
      <c r="T85" s="2030"/>
      <c r="U85" s="2030"/>
      <c r="V85" s="2030"/>
    </row>
    <row r="86" spans="1:26" ht="13.5" thickBot="1">
      <c r="A86" s="386" t="s">
        <v>1830</v>
      </c>
      <c r="B86" s="387" t="s">
        <v>436</v>
      </c>
      <c r="C86" s="388">
        <f ca="1">IF(C85&lt;=0,0,ROUND(C85*D86,0))</f>
        <v>4388</v>
      </c>
      <c r="D86" s="389">
        <f>'数据-取费表'!B41</f>
        <v>5.6000000000000001E-2</v>
      </c>
      <c r="E86" s="390"/>
      <c r="F86" s="42"/>
      <c r="G86" s="42"/>
      <c r="H86" s="1003"/>
      <c r="I86" s="311"/>
      <c r="J86" s="2030"/>
      <c r="K86" s="3636"/>
      <c r="L86" s="3093" t="s">
        <v>2886</v>
      </c>
      <c r="M86" s="3083">
        <f ca="1">N69*0.5%</f>
        <v>703.15</v>
      </c>
      <c r="N86" s="53">
        <f ca="1">IF(M86&gt;0.5,0.5,ROUND(M86,0))</f>
        <v>0.5</v>
      </c>
      <c r="O86" s="2030" t="s">
        <v>2887</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636"/>
      <c r="L87" s="3093" t="s">
        <v>2888</v>
      </c>
      <c r="M87" s="3083">
        <f ca="1">IF(N69&gt;=10000,(8.25+(N69-10000)*0.01%),IF(AND(N69&gt;=8000,N69&lt;10000),(7.85+(N69-8000)*0.02%),IF(AND(N69&gt;=5000,N69&lt;8000),(6.65+(N69-5000)*0.04%),IF(AND(N69&gt;=2000,N69&lt;5000),(4.25+(PN69-2000)*0.08%),IF(AND(N69&gt;=1000,N69&lt;2000),(2.75+(N69-1000)*0.15%),IF(AND(N69&gt;=100,N69&lt;1000),(0.5+(N69-100)*0.25%),IF(AND(N69&gt;0,N69&lt;100),N69*0.5%)))))))</f>
        <v>21.313000000000002</v>
      </c>
      <c r="N87" s="53">
        <f ca="1">ROUND(M87*0.9,1)</f>
        <v>19.2</v>
      </c>
      <c r="O87" s="3086"/>
      <c r="P87" s="311"/>
      <c r="Q87" s="2030"/>
      <c r="R87" s="2030"/>
      <c r="S87" s="2030"/>
      <c r="T87" s="2030"/>
      <c r="U87" s="2030"/>
      <c r="V87" s="2030"/>
      <c r="W87" s="292"/>
      <c r="X87" s="292"/>
      <c r="Y87" s="292"/>
      <c r="Z87" s="292"/>
    </row>
    <row r="88" spans="1:26" s="1314" customFormat="1" ht="15" thickBot="1">
      <c r="A88" s="3618" t="s">
        <v>437</v>
      </c>
      <c r="B88" s="3619"/>
      <c r="C88" s="3619"/>
      <c r="D88" s="3619"/>
      <c r="E88" s="3619"/>
      <c r="F88" s="3619"/>
      <c r="G88" s="3619"/>
      <c r="H88" s="3619"/>
      <c r="I88" s="1315"/>
      <c r="J88" s="2038"/>
      <c r="K88" s="3636"/>
      <c r="L88" s="3093" t="s">
        <v>2889</v>
      </c>
      <c r="M88" s="3083">
        <f ca="1">IF(N69&gt;10000,N69*0.5%,IF(AND(N69&gt;5000,N69&lt;=10000),N69*1%,IF(AND(N69&gt;1000,N69&lt;=5000),N69*2%,IF(AND(N69&gt;200,N69&lt;=1000),N69*3%,N69*5%))))</f>
        <v>703.15</v>
      </c>
      <c r="N88" s="53">
        <f ca="1">ROUND(M88,1)</f>
        <v>703.2</v>
      </c>
      <c r="O88" s="3086"/>
      <c r="P88" s="11"/>
      <c r="Q88" s="2035"/>
      <c r="R88" s="2035"/>
      <c r="S88" s="2035"/>
      <c r="T88" s="2035"/>
      <c r="U88" s="2035"/>
      <c r="V88" s="2035"/>
      <c r="W88" s="2039"/>
      <c r="X88" s="2039"/>
      <c r="Y88" s="2039"/>
      <c r="Z88" s="2039"/>
    </row>
    <row r="89" spans="1:26" s="1314" customFormat="1" ht="14.25">
      <c r="A89" s="3616" t="s">
        <v>428</v>
      </c>
      <c r="B89" s="3617"/>
      <c r="C89" s="994"/>
      <c r="D89" s="994" t="s">
        <v>429</v>
      </c>
      <c r="E89" s="391" t="s">
        <v>438</v>
      </c>
      <c r="F89" s="392"/>
      <c r="G89" s="392"/>
      <c r="H89" s="393"/>
      <c r="I89" s="1316"/>
      <c r="J89" s="2040"/>
      <c r="K89" s="3636"/>
      <c r="L89" s="3093" t="s">
        <v>27</v>
      </c>
      <c r="M89" s="3084"/>
      <c r="N89" s="53">
        <f ca="1">ROUND(SUM(N83:N88),0)</f>
        <v>2270</v>
      </c>
      <c r="O89" s="3094">
        <f ca="1">N89/N69</f>
        <v>1.6141648296949442E-2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80360</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3043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579" t="s">
        <v>447</v>
      </c>
      <c r="F94" s="3578"/>
      <c r="G94" s="3578"/>
      <c r="H94" s="3615"/>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482</v>
      </c>
      <c r="D96" s="406">
        <f>'数据-取费表'!B43</f>
        <v>6.000000000000001E-3</v>
      </c>
      <c r="E96" s="3607" t="s">
        <v>2433</v>
      </c>
      <c r="F96" s="3608"/>
      <c r="G96" s="3608"/>
      <c r="H96" s="360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77317</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25.408149852119617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45325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18" t="s">
        <v>454</v>
      </c>
      <c r="B101" s="3619"/>
      <c r="C101" s="3619"/>
      <c r="D101" s="3619"/>
      <c r="E101" s="3619"/>
      <c r="F101" s="3619"/>
      <c r="G101" s="3619"/>
      <c r="H101" s="361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16" t="s">
        <v>428</v>
      </c>
      <c r="B102" s="3617"/>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80360</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1172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610" t="s">
        <v>462</v>
      </c>
      <c r="F109" s="3608"/>
      <c r="G109" s="3608"/>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610" t="s">
        <v>464</v>
      </c>
      <c r="F110" s="3608"/>
      <c r="G110" s="3608"/>
      <c r="H110" s="360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482</v>
      </c>
      <c r="D111" s="406">
        <f>'数据-取费表'!B43</f>
        <v>6.000000000000001E-3</v>
      </c>
      <c r="E111" s="3607" t="s">
        <v>2433</v>
      </c>
      <c r="F111" s="3608"/>
      <c r="G111" s="3608"/>
      <c r="H111" s="360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610" t="s">
        <v>2458</v>
      </c>
      <c r="F112" s="3608"/>
      <c r="G112" s="3608"/>
      <c r="H112" s="360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79188</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67.566552901023897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47103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8" sqref="F2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6" t="s">
        <v>924</v>
      </c>
      <c r="C1" s="2106"/>
      <c r="D1" s="2106"/>
      <c r="E1" s="2106"/>
      <c r="F1" s="2106"/>
      <c r="G1" s="2106"/>
      <c r="H1" s="2106"/>
      <c r="I1" s="2106"/>
      <c r="J1" s="2106"/>
      <c r="K1" s="422">
        <f>MATCH(B1,'数据-取费表'!A6:A16,0)+5</f>
        <v>6</v>
      </c>
    </row>
    <row r="2" spans="1:31" s="2043" customFormat="1" ht="18" customHeight="1">
      <c r="A2" s="2103" t="s">
        <v>467</v>
      </c>
      <c r="B2" s="2107">
        <f ca="1">C36</f>
        <v>128731</v>
      </c>
      <c r="C2" s="2106"/>
      <c r="D2" s="2106"/>
      <c r="E2" s="2106"/>
      <c r="F2" s="2106"/>
      <c r="G2" s="2106"/>
      <c r="H2" s="2106"/>
      <c r="I2" s="2106"/>
      <c r="J2" s="2106"/>
      <c r="K2" s="2106"/>
    </row>
    <row r="3" spans="1:31" s="2043" customFormat="1" ht="18" customHeight="1">
      <c r="A3" s="2108" t="s">
        <v>1686</v>
      </c>
      <c r="B3" s="2109">
        <f ca="1">ROUND(B2*10000/IF(B1="",'数据-汇总表'!E3,INDIRECT("'数据-取费表'!K"&amp;$K$1)),0)</f>
        <v>14749</v>
      </c>
      <c r="C3" s="2106"/>
      <c r="D3" s="2106"/>
      <c r="E3" s="2106"/>
      <c r="F3" s="2106"/>
      <c r="G3" s="2106"/>
      <c r="H3" s="2106"/>
      <c r="I3" s="2106"/>
      <c r="J3" s="2106"/>
      <c r="K3" s="2106"/>
    </row>
    <row r="4" spans="1:31" s="2043" customFormat="1" ht="18" customHeight="1">
      <c r="A4" s="426" t="s">
        <v>468</v>
      </c>
      <c r="B4" s="427">
        <f ca="1">ROUND(B2*10000/IF(B1="",'数据-汇总表'!D3,INDIRECT("'数据-取费表'!R"&amp;$K$1)),0)</f>
        <v>17699</v>
      </c>
      <c r="C4" s="428"/>
      <c r="D4" s="422"/>
      <c r="E4" s="422"/>
      <c r="F4" s="422"/>
      <c r="G4" s="422"/>
      <c r="H4" s="422"/>
      <c r="I4" s="422"/>
      <c r="J4" s="422"/>
      <c r="K4" s="422"/>
    </row>
    <row r="5" spans="1:31" s="2043" customFormat="1" ht="18" customHeight="1" thickBot="1">
      <c r="A5" s="429"/>
      <c r="B5" s="430">
        <f ca="1">ROUND(B2/(IF(B1="",'数据-汇总表'!D3,INDIRECT("'数据-取费表'!R"&amp;$K$1))/666.67),0)</f>
        <v>1180</v>
      </c>
      <c r="C5" s="431" t="s">
        <v>469</v>
      </c>
      <c r="D5" s="422"/>
      <c r="E5" s="422"/>
      <c r="F5" s="422"/>
      <c r="G5" s="422"/>
      <c r="H5" s="422"/>
      <c r="I5" s="422"/>
      <c r="J5" s="422"/>
      <c r="K5" s="422"/>
    </row>
    <row r="6" spans="1:31" s="2113" customFormat="1" ht="16.5" customHeight="1">
      <c r="A6" s="2855" t="s">
        <v>1844</v>
      </c>
      <c r="B6" s="2856"/>
      <c r="C6" s="2857">
        <f>SUM(C10:K10)</f>
        <v>218205</v>
      </c>
      <c r="D6" s="2856"/>
      <c r="E6" s="2856"/>
      <c r="F6" s="2856"/>
      <c r="G6" s="2856"/>
      <c r="H6" s="2856"/>
      <c r="I6" s="2856"/>
      <c r="J6" s="2856"/>
      <c r="K6" s="2858"/>
    </row>
    <row r="7" spans="1:31" s="2115" customFormat="1" ht="15">
      <c r="A7" s="2859" t="s">
        <v>470</v>
      </c>
      <c r="B7" s="2860" t="s">
        <v>471</v>
      </c>
      <c r="C7" s="436" t="s">
        <v>924</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1">
        <v>25000</v>
      </c>
      <c r="D8" s="2861"/>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87282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1849</v>
      </c>
      <c r="B10" s="2849" t="s">
        <v>474</v>
      </c>
      <c r="C10" s="3056">
        <f>ROUND(C8*C9/10000,0)</f>
        <v>218205</v>
      </c>
      <c r="D10" s="3056"/>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1845</v>
      </c>
      <c r="B11" s="2856"/>
      <c r="C11" s="2856"/>
      <c r="D11" s="2856"/>
      <c r="E11" s="2856"/>
      <c r="F11" s="2856"/>
      <c r="G11" s="2856"/>
      <c r="H11" s="2856"/>
      <c r="I11" s="2856"/>
      <c r="J11" s="2856"/>
      <c r="K11" s="2858"/>
    </row>
    <row r="12" spans="1:31" s="2087" customFormat="1" ht="13.5" customHeight="1">
      <c r="A12" s="2867" t="s">
        <v>470</v>
      </c>
      <c r="B12" s="2839" t="s">
        <v>471</v>
      </c>
      <c r="C12" s="2868" t="s">
        <v>475</v>
      </c>
      <c r="D12" s="2835" t="s">
        <v>476</v>
      </c>
      <c r="E12" s="2835" t="s">
        <v>477</v>
      </c>
      <c r="F12" s="2835" t="s">
        <v>478</v>
      </c>
      <c r="G12" s="2839"/>
      <c r="H12" s="2840"/>
      <c r="I12" s="2840"/>
      <c r="J12" s="2840"/>
      <c r="K12" s="2841"/>
    </row>
    <row r="13" spans="1:31" s="2118" customFormat="1" ht="13.5" customHeight="1">
      <c r="A13" s="2869" t="s">
        <v>1850</v>
      </c>
      <c r="B13" s="2870" t="s">
        <v>479</v>
      </c>
      <c r="C13" s="450">
        <f ca="1">IF(B1="",'数据-取费表'!P16,INDIRECT("'数据-取费表'!p"&amp;$K$1)+INDIRECT("'数据-取费表'!t"&amp;$K$1))</f>
        <v>21821</v>
      </c>
      <c r="D13" s="2871"/>
      <c r="E13" s="2872"/>
      <c r="F13" s="2873"/>
      <c r="G13" s="2839"/>
      <c r="H13" s="2840"/>
      <c r="I13" s="2840"/>
      <c r="J13" s="2840"/>
      <c r="K13" s="2841"/>
    </row>
    <row r="14" spans="1:31" s="2118" customFormat="1" ht="13.5" customHeight="1">
      <c r="A14" s="2869" t="s">
        <v>1851</v>
      </c>
      <c r="B14" s="2870" t="s">
        <v>480</v>
      </c>
      <c r="C14" s="53">
        <f ca="1">ROUND(C13*F14,0)</f>
        <v>655</v>
      </c>
      <c r="D14" s="2871"/>
      <c r="E14" s="2872"/>
      <c r="F14" s="2874">
        <f>'数据-取费表'!B33</f>
        <v>0.03</v>
      </c>
      <c r="G14" s="2839" t="s">
        <v>481</v>
      </c>
      <c r="H14" s="2840"/>
      <c r="I14" s="2840"/>
      <c r="J14" s="2840"/>
      <c r="K14" s="2841"/>
    </row>
    <row r="15" spans="1:31" s="2118" customFormat="1" ht="13.5" customHeight="1">
      <c r="A15" s="2869" t="s">
        <v>1852</v>
      </c>
      <c r="B15" s="2870" t="s">
        <v>482</v>
      </c>
      <c r="C15" s="53">
        <f ca="1">ROUND(IF(B1="",SUMIF('数据-取费表'!C:C,"住宅",'数据-取费表'!P:P)*F15,IF(INDIRECT("'数据-取费表'!c"&amp;$K$1)="住宅",INDIRECT("'数据-取费表'!P"&amp;$K$1)*F15,0)),0)</f>
        <v>1091</v>
      </c>
      <c r="D15" s="2871"/>
      <c r="E15" s="2872"/>
      <c r="F15" s="2874">
        <f>'数据-取费表'!B34</f>
        <v>0.05</v>
      </c>
      <c r="G15" s="2839" t="s">
        <v>483</v>
      </c>
      <c r="H15" s="2840"/>
      <c r="I15" s="2840"/>
      <c r="J15" s="2840"/>
      <c r="K15" s="2841"/>
    </row>
    <row r="16" spans="1:31" s="2119" customFormat="1" ht="13.5" customHeight="1">
      <c r="A16" s="2869" t="s">
        <v>1853</v>
      </c>
      <c r="B16" s="2870" t="s">
        <v>484</v>
      </c>
      <c r="C16" s="53">
        <f ca="1">ROUND(D16*E16/10000,0)</f>
        <v>1746</v>
      </c>
      <c r="D16" s="2871">
        <f ca="1">IF(B1="",'数据-汇总表'!E3,INDIRECT("'数据-取费表'!K"&amp;$K$1)+INDIRECT("'数据-取费表'!S"&amp;$K$1))</f>
        <v>87282</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1854</v>
      </c>
      <c r="B17" s="2870" t="s">
        <v>485</v>
      </c>
      <c r="C17" s="2875">
        <f ca="1">ROUND(C13*F17,0)</f>
        <v>327</v>
      </c>
      <c r="D17" s="475"/>
      <c r="E17" s="2875"/>
      <c r="F17" s="2876">
        <f>'数据-取费表'!B36</f>
        <v>1.4999999999999999E-2</v>
      </c>
      <c r="G17" s="261" t="s">
        <v>486</v>
      </c>
      <c r="H17" s="2842"/>
      <c r="I17" s="2842"/>
      <c r="J17" s="2842"/>
      <c r="K17" s="279"/>
    </row>
    <row r="18" spans="1:14" s="2118" customFormat="1" ht="13.5" customHeight="1">
      <c r="A18" s="2877" t="s">
        <v>1855</v>
      </c>
      <c r="B18" s="2878" t="s">
        <v>487</v>
      </c>
      <c r="C18" s="2879">
        <f ca="1">SUM(C13:C17)</f>
        <v>25640</v>
      </c>
      <c r="D18" s="2880"/>
      <c r="E18" s="468"/>
      <c r="F18" s="468"/>
      <c r="G18" s="2843" t="s">
        <v>2435</v>
      </c>
      <c r="H18" s="2844"/>
      <c r="I18" s="2844"/>
      <c r="J18" s="2844"/>
      <c r="K18" s="2845"/>
    </row>
    <row r="19" spans="1:14" s="2118" customFormat="1" ht="13.5" customHeight="1">
      <c r="A19" s="2877" t="s">
        <v>1856</v>
      </c>
      <c r="B19" s="2878" t="s">
        <v>488</v>
      </c>
      <c r="C19" s="2835">
        <f ca="1">ROUND(D19*E19/10000,0)</f>
        <v>873</v>
      </c>
      <c r="D19" s="2881">
        <f ca="1">D16</f>
        <v>87282</v>
      </c>
      <c r="E19" s="2835">
        <f>'数据-取费表'!B32</f>
        <v>100</v>
      </c>
      <c r="F19" s="468"/>
      <c r="G19" s="2839" t="s">
        <v>489</v>
      </c>
      <c r="H19" s="2840"/>
      <c r="I19" s="2844"/>
      <c r="J19" s="2844"/>
      <c r="K19" s="2845"/>
    </row>
    <row r="20" spans="1:14" s="2118" customFormat="1" ht="13.5" customHeight="1">
      <c r="A20" s="2877" t="s">
        <v>1857</v>
      </c>
      <c r="B20" s="2878" t="s">
        <v>490</v>
      </c>
      <c r="C20" s="2835">
        <f ca="1">C21+C22-IF(B1="",'数据-取费表'!B29,IF(G20="已全部缴纳",C21+C22,H20))</f>
        <v>3055</v>
      </c>
      <c r="D20" s="2881"/>
      <c r="E20" s="2835"/>
      <c r="F20" s="2882"/>
      <c r="G20" s="3116"/>
      <c r="H20" s="2837"/>
      <c r="I20" s="2838" t="s">
        <v>2658</v>
      </c>
      <c r="J20" s="2844"/>
      <c r="K20" s="2845"/>
    </row>
    <row r="21" spans="1:14" s="2118" customFormat="1" ht="13.5" customHeight="1">
      <c r="A21" s="2869" t="s">
        <v>1858</v>
      </c>
      <c r="B21" s="2870" t="s">
        <v>491</v>
      </c>
      <c r="C21" s="53">
        <f ca="1">ROUND(D21*E21/10000,0)</f>
        <v>3055</v>
      </c>
      <c r="D21" s="2871">
        <f ca="1">IF(B1="",'数据-汇总表'!E5,IF(INDIRECT("'数据-取费表'!c"&amp;$K$1)="住宅",INDIRECT("'数据-取费表'!k"&amp;$K$1),0))</f>
        <v>87282</v>
      </c>
      <c r="E21" s="53">
        <f>'数据-取费表'!B27</f>
        <v>350</v>
      </c>
      <c r="F21" s="2874"/>
      <c r="G21" s="26"/>
      <c r="H21" s="51"/>
      <c r="I21" s="51"/>
      <c r="J21" s="51"/>
      <c r="K21" s="2846"/>
    </row>
    <row r="22" spans="1:14" s="2118" customFormat="1" ht="13.5" customHeight="1">
      <c r="A22" s="2869" t="s">
        <v>1859</v>
      </c>
      <c r="B22" s="2870" t="s">
        <v>492</v>
      </c>
      <c r="C22" s="53">
        <f ca="1">ROUND(D22*E22/10000,0)</f>
        <v>0</v>
      </c>
      <c r="D22" s="2871">
        <f ca="1">IF(B1="",'数据-汇总表'!E6,IF(INDIRECT("'数据-取费表'!c"&amp;$K$1)="住宅",INDIRECT("'数据-取费表'!s"&amp;$K$1),INDIRECT("'数据-取费表'!k"&amp;$K$1)+INDIRECT("'数据-取费表'!s"&amp;$K$1)))</f>
        <v>0</v>
      </c>
      <c r="E22" s="53">
        <f>'数据-取费表'!B28</f>
        <v>350</v>
      </c>
      <c r="F22" s="2874"/>
      <c r="G22" s="26"/>
      <c r="H22" s="51"/>
      <c r="I22" s="51"/>
      <c r="J22" s="51"/>
      <c r="K22" s="2846"/>
    </row>
    <row r="23" spans="1:14" s="2118" customFormat="1" ht="13.5" customHeight="1">
      <c r="A23" s="2877" t="s">
        <v>1860</v>
      </c>
      <c r="B23" s="3062" t="s">
        <v>2841</v>
      </c>
      <c r="C23" s="2879">
        <f ca="1">ROUND((C18+C19+C20)*F23,0)</f>
        <v>591</v>
      </c>
      <c r="D23" s="468"/>
      <c r="E23" s="468"/>
      <c r="F23" s="2883">
        <f>'数据-取费表'!B37</f>
        <v>0.02</v>
      </c>
      <c r="G23" s="2839" t="s">
        <v>2436</v>
      </c>
      <c r="H23" s="2840"/>
      <c r="I23" s="2840"/>
      <c r="J23" s="2840"/>
      <c r="K23" s="2841"/>
      <c r="L23" s="2120"/>
      <c r="M23" s="2120"/>
      <c r="N23" s="2120"/>
    </row>
    <row r="24" spans="1:14" s="2118" customFormat="1" ht="13.5" customHeight="1">
      <c r="A24" s="2877" t="s">
        <v>1861</v>
      </c>
      <c r="B24" s="3062" t="s">
        <v>2844</v>
      </c>
      <c r="C24" s="2879">
        <f>ROUND(C6*F24,0)</f>
        <v>4364</v>
      </c>
      <c r="D24" s="475"/>
      <c r="E24" s="473"/>
      <c r="F24" s="2883">
        <f>'数据-取费表'!B38</f>
        <v>0.02</v>
      </c>
      <c r="G24" s="2848" t="s">
        <v>499</v>
      </c>
      <c r="H24" s="2842"/>
      <c r="I24" s="2842"/>
      <c r="J24" s="2842"/>
      <c r="K24" s="279"/>
      <c r="L24" s="2120"/>
      <c r="M24" s="2120"/>
      <c r="N24" s="2120"/>
    </row>
    <row r="25" spans="1:14" s="2121" customFormat="1" ht="13.5" customHeight="1">
      <c r="A25" s="2877" t="s">
        <v>1862</v>
      </c>
      <c r="B25" s="3062" t="s">
        <v>2842</v>
      </c>
      <c r="C25" s="467">
        <f>ROUND(F25/(1+'数据-取费表'!C42),4)</f>
        <v>2.9000000000000001E-2</v>
      </c>
      <c r="D25" s="462" t="s">
        <v>2836</v>
      </c>
      <c r="E25" s="469"/>
      <c r="F25" s="2883">
        <f>'数据-取费表'!B48+'数据-取费表'!B49</f>
        <v>3.0499999999999999E-2</v>
      </c>
      <c r="G25" s="2847" t="s">
        <v>2293</v>
      </c>
      <c r="H25" s="2840"/>
      <c r="I25" s="2840"/>
      <c r="J25" s="2840"/>
      <c r="K25" s="2841"/>
    </row>
    <row r="26" spans="1:14" s="2120" customFormat="1" ht="13.5" customHeight="1">
      <c r="A26" s="2877" t="s">
        <v>1863</v>
      </c>
      <c r="B26" s="3063" t="s">
        <v>2843</v>
      </c>
      <c r="C26" s="2884">
        <f ca="1">C28</f>
        <v>1640</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1858</v>
      </c>
      <c r="B27" s="2885" t="s">
        <v>496</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1859</v>
      </c>
      <c r="B28" s="2885" t="s">
        <v>2845</v>
      </c>
      <c r="C28" s="2887">
        <f ca="1">ROUND(IF('数据-取费表'!B22&lt;=1,(C18+C19+C20+C23+C24)*F26*'数据-取费表'!B24/2,(C18+C19+C20+C23+C24)*(POWER((1+F26),'数据-取费表'!B24/2)-1)),0)</f>
        <v>1640</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1864</v>
      </c>
      <c r="B29" s="2878" t="s">
        <v>497</v>
      </c>
      <c r="C29" s="2879">
        <f>ROUND(C6*F29/(1+'数据-取费表'!C42),0)</f>
        <v>11638</v>
      </c>
      <c r="D29" s="468"/>
      <c r="E29" s="468"/>
      <c r="F29" s="3064">
        <f>'数据-取费表'!B41</f>
        <v>5.6000000000000001E-2</v>
      </c>
      <c r="G29" s="2848" t="s">
        <v>498</v>
      </c>
      <c r="H29" s="2840"/>
      <c r="I29" s="2840"/>
      <c r="J29" s="2840"/>
      <c r="K29" s="2841"/>
    </row>
    <row r="30" spans="1:14" s="2123" customFormat="1" ht="13.5" customHeight="1">
      <c r="A30" s="1636" t="s">
        <v>1865</v>
      </c>
      <c r="B30" s="2889" t="s">
        <v>500</v>
      </c>
      <c r="C30" s="2884">
        <f ca="1">C31</f>
        <v>47801</v>
      </c>
      <c r="D30" s="477">
        <f ca="1">C32</f>
        <v>0.12909999999999999</v>
      </c>
      <c r="E30" s="469" t="s">
        <v>495</v>
      </c>
      <c r="F30" s="471"/>
      <c r="G30" s="2839" t="s">
        <v>501</v>
      </c>
      <c r="H30" s="2840"/>
      <c r="I30" s="2840"/>
      <c r="J30" s="2840"/>
      <c r="K30" s="2841"/>
    </row>
    <row r="31" spans="1:14" s="2122" customFormat="1" ht="13.5" customHeight="1">
      <c r="A31" s="803" t="s">
        <v>1858</v>
      </c>
      <c r="B31" s="2885"/>
      <c r="C31" s="450">
        <f ca="1">C18+C19+C20+C23+C24+C26+C29</f>
        <v>47801</v>
      </c>
      <c r="D31" s="472"/>
      <c r="E31" s="473"/>
      <c r="F31" s="474"/>
      <c r="G31" s="261"/>
      <c r="H31" s="2842"/>
      <c r="I31" s="2842"/>
      <c r="J31" s="2842"/>
      <c r="K31" s="279"/>
    </row>
    <row r="32" spans="1:14" s="2122" customFormat="1" ht="13.5" customHeight="1">
      <c r="A32" s="803" t="s">
        <v>1859</v>
      </c>
      <c r="B32" s="2885"/>
      <c r="C32" s="53">
        <f ca="1">ROUND(C25+D26,4)</f>
        <v>0.12909999999999999</v>
      </c>
      <c r="D32" s="472"/>
      <c r="E32" s="473"/>
      <c r="F32" s="474"/>
      <c r="G32" s="261"/>
      <c r="H32" s="2842"/>
      <c r="I32" s="2842"/>
      <c r="J32" s="2842"/>
      <c r="K32" s="279"/>
    </row>
    <row r="33" spans="1:11" s="2124" customFormat="1" ht="13.5" customHeight="1">
      <c r="A33" s="3061" t="s">
        <v>2840</v>
      </c>
      <c r="B33" s="3059" t="s">
        <v>2838</v>
      </c>
      <c r="C33" s="478">
        <f ca="1">C35</f>
        <v>5178</v>
      </c>
      <c r="D33" s="467">
        <f ca="1">C34</f>
        <v>0.15440000000000001</v>
      </c>
      <c r="E33" s="469" t="s">
        <v>495</v>
      </c>
      <c r="F33" s="479">
        <f ca="1">IF(B1="",'数据-取费表'!Q16,INDIRECT("'数据-取费表'!q"&amp;$K$1))</f>
        <v>0.15</v>
      </c>
      <c r="G33" s="2843"/>
      <c r="H33" s="2844"/>
      <c r="I33" s="2844"/>
      <c r="J33" s="2844"/>
      <c r="K33" s="2845"/>
    </row>
    <row r="34" spans="1:11" s="2125" customFormat="1" ht="13.5" customHeight="1">
      <c r="A34" s="375" t="s">
        <v>1858</v>
      </c>
      <c r="B34" s="2890" t="s">
        <v>502</v>
      </c>
      <c r="C34" s="472">
        <f ca="1">ROUND((1+C25)*F33,4)</f>
        <v>0.15440000000000001</v>
      </c>
      <c r="D34" s="472"/>
      <c r="E34" s="473"/>
      <c r="F34" s="480"/>
      <c r="G34" s="261" t="s">
        <v>2294</v>
      </c>
      <c r="H34" s="2842"/>
      <c r="I34" s="2842"/>
      <c r="J34" s="2842"/>
      <c r="K34" s="279"/>
    </row>
    <row r="35" spans="1:11" s="2125" customFormat="1" ht="13.5" customHeight="1" thickBot="1">
      <c r="A35" s="1637" t="s">
        <v>1859</v>
      </c>
      <c r="B35" s="3060" t="s">
        <v>2846</v>
      </c>
      <c r="C35" s="1629">
        <f ca="1">ROUND((C18+C19+C20+C23+C24)*F33,0)</f>
        <v>5178</v>
      </c>
      <c r="D35" s="1630"/>
      <c r="E35" s="2891"/>
      <c r="F35" s="1631"/>
      <c r="G35" s="2849"/>
      <c r="H35" s="2850"/>
      <c r="I35" s="2850"/>
      <c r="J35" s="2850"/>
      <c r="K35" s="2851"/>
    </row>
    <row r="36" spans="1:11" s="2087" customFormat="1" ht="13.5" customHeight="1" thickBot="1">
      <c r="A36" s="284" t="s">
        <v>1846</v>
      </c>
      <c r="B36" s="2853"/>
      <c r="C36" s="2892">
        <f ca="1">ROUND((C6-C30-C33)/(1+D30+D33),0)</f>
        <v>128731</v>
      </c>
      <c r="D36" s="2853"/>
      <c r="E36" s="2853"/>
      <c r="F36" s="2853"/>
      <c r="G36" s="2852" t="s">
        <v>2847</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出让国有建设用地使用权抵押价格预评估</v>
      </c>
      <c r="AX2" s="2923"/>
      <c r="AZ2" s="2923"/>
      <c r="BA2" s="2924"/>
      <c r="BC2" s="2924"/>
    </row>
    <row r="3" spans="1:55" s="2925" customFormat="1">
      <c r="A3" s="2904" t="s">
        <v>2668</v>
      </c>
      <c r="B3" s="2907">
        <f>'预评函-封皮'!B40</f>
        <v>0</v>
      </c>
    </row>
    <row r="4" spans="1:55" s="2906" customFormat="1">
      <c r="A4" s="2904" t="s">
        <v>2669</v>
      </c>
      <c r="B4" s="2905" t="str">
        <f>'预评函-封皮'!B46</f>
        <v>土地估价师、土地估价师</v>
      </c>
      <c r="N4" s="2906" t="str">
        <f>'预评函-1'!A28</f>
        <v/>
      </c>
    </row>
    <row r="5" spans="1:55" s="2919" customFormat="1" ht="15" thickBot="1">
      <c r="A5" s="2926" t="s">
        <v>2670</v>
      </c>
      <c r="B5" s="2927" t="str">
        <f>'预评函-封皮'!B49</f>
        <v>康正预评字号</v>
      </c>
    </row>
    <row r="6" spans="1:55" s="2928" customFormat="1" ht="15" thickTop="1">
      <c r="A6" s="2920" t="s">
        <v>2712</v>
      </c>
      <c r="B6" s="2921" t="str">
        <f>'预评函-1'!A4</f>
        <v>受贵公司委托，我公司对出让国有建设用地使用权抵押价格进行了预评估。</v>
      </c>
      <c r="AM6" s="2929"/>
    </row>
    <row r="7" spans="1:55" s="2903" customFormat="1">
      <c r="A7" s="2904" t="s">
        <v>2664</v>
      </c>
      <c r="B7" s="2905" t="str">
        <f>'预评函-1'!A6</f>
        <v>估价对象为使用的、位于出让国有建设用地使用权。根据《国有土地使用证》[]，估价对象（分摊）出让国有建设用地使用权面积为72735平方米。根据《建设工程规划许可证》[]、《出让合同》[]，估价对象规划建筑面积为87282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3" customFormat="1">
      <c r="A10" s="2904" t="s">
        <v>2666</v>
      </c>
      <c r="B10" s="2905" t="str">
        <f>'预评函-1'!A11</f>
        <v>2018年3月15日（评估专业人员勘察现场之日）</v>
      </c>
    </row>
    <row r="11" spans="1:55" s="2903" customFormat="1">
      <c r="A11" s="2904" t="s">
        <v>2672</v>
      </c>
      <c r="B11" s="2905" t="str">
        <f>'预评函-1'!A14</f>
        <v>根据《国有土地使用证》[]，本次评估估价对象证载（地类）用途为。</v>
      </c>
    </row>
    <row r="12" spans="1:55" s="2903" customFormat="1">
      <c r="A12" s="2904" t="s">
        <v>2673</v>
      </c>
      <c r="B12" s="2905" t="str">
        <f>'预评函-1'!A15</f>
        <v>本次评估设定用途即为证载用途。</v>
      </c>
    </row>
    <row r="13" spans="1:55" s="2903" customFormat="1">
      <c r="A13" s="2904" t="s">
        <v>2674</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根据《国有土地使用证》[]，估价对象（分摊）出让国有建设用地使用权面积为72735平方米。根据《建设工程规划许可证》[]、《出让合同》[]，估价对象规划建筑面积为87282平方米。</v>
      </c>
    </row>
    <row r="16" spans="1:55" s="2903" customFormat="1">
      <c r="A16" s="2904" t="s">
        <v>2676</v>
      </c>
      <c r="B16" s="290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11月5日。截至估价期日，出让国有建设用地使用权剩余土地使用年限为。</v>
      </c>
    </row>
    <row r="17" spans="1:48" s="2903" customFormat="1">
      <c r="A17" s="2904" t="s">
        <v>2677</v>
      </c>
      <c r="B17" s="2905" t="str">
        <f>'预评函-1'!A23</f>
        <v>本次评估设定估价对象剩余土地使用年限为。</v>
      </c>
    </row>
    <row r="18" spans="1:48" s="2903" customFormat="1">
      <c r="A18" s="2904" t="s">
        <v>2678</v>
      </c>
      <c r="B18" s="2905" t="str">
        <f>'预评函-1'!A25</f>
        <v>本次估价的“出让国有建设用地使用权价格”是指在估价对象土地所有权为国家所有，使用权性质为出让，在公开市场条件下、于估价期日2018年3月15日，在规划利用条件下、设定土地开发程度为红线外“七通”、宗地内场地，设定用途为，剩余土地使用年限为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
      </c>
    </row>
    <row r="22" spans="1:48" ht="15" thickTop="1">
      <c r="A22" s="2915" t="s">
        <v>2682</v>
      </c>
      <c r="B22" s="291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估价期日：2018年3月15日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f>'预评函-2'!E5</f>
        <v>0</v>
      </c>
      <c r="AV32" s="2909"/>
    </row>
    <row r="33" spans="1:2">
      <c r="A33" s="2904" t="s">
        <v>2720</v>
      </c>
      <c r="B33" s="2905">
        <f>'预评函-2'!F5</f>
        <v>258</v>
      </c>
    </row>
    <row r="34" spans="1:2">
      <c r="A34" s="2904" t="s">
        <v>2721</v>
      </c>
      <c r="B34" s="2905">
        <f>'预评函-2'!G5</f>
        <v>0</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v>
      </c>
    </row>
    <row r="39" spans="1:2">
      <c r="A39" s="2904" t="s">
        <v>2726</v>
      </c>
      <c r="B39" s="2905" t="str">
        <f>'预评函-2'!L5</f>
        <v>红线外七通、宗地红线内场地</v>
      </c>
    </row>
    <row r="40" spans="1:2">
      <c r="A40" s="2904" t="s">
        <v>2745</v>
      </c>
      <c r="B40" s="2905" t="str">
        <f>'预评函-2'!M3</f>
        <v>（剩余）土地使用年限/年</v>
      </c>
    </row>
    <row r="41" spans="1:2">
      <c r="A41" s="2904" t="s">
        <v>2727</v>
      </c>
      <c r="B41" s="2905">
        <f>'预评函-2'!M5</f>
        <v>0</v>
      </c>
    </row>
    <row r="42" spans="1:2">
      <c r="A42" s="2904" t="s">
        <v>2746</v>
      </c>
      <c r="B42" s="2905" t="str">
        <f>'预评函-2'!N3</f>
        <v>（分摊）出让国有建设用地使用权面积/㎡</v>
      </c>
    </row>
    <row r="43" spans="1:2">
      <c r="A43" s="2904" t="s">
        <v>2728</v>
      </c>
      <c r="B43" s="2905">
        <f>'预评函-2'!N5</f>
        <v>72735</v>
      </c>
    </row>
    <row r="44" spans="1:2">
      <c r="A44" s="2904" t="s">
        <v>2747</v>
      </c>
      <c r="B44" s="2905" t="str">
        <f>'预评函-2'!O3</f>
        <v>规划建筑面积/㎡</v>
      </c>
    </row>
    <row r="45" spans="1:2">
      <c r="A45" s="2904" t="s">
        <v>2729</v>
      </c>
      <c r="B45" s="2905">
        <f>'预评函-2'!O5</f>
        <v>87282</v>
      </c>
    </row>
    <row r="46" spans="1:2">
      <c r="A46" s="2904" t="s">
        <v>2730</v>
      </c>
      <c r="B46" s="2905">
        <f ca="1">'预评函-2'!P5</f>
        <v>19335</v>
      </c>
    </row>
    <row r="47" spans="1:2">
      <c r="A47" s="2904" t="s">
        <v>2731</v>
      </c>
      <c r="B47" s="2905">
        <f ca="1">'预评函-2'!Q5</f>
        <v>16112</v>
      </c>
    </row>
    <row r="48" spans="1:2">
      <c r="A48" s="2904" t="s">
        <v>2732</v>
      </c>
      <c r="B48" s="2905">
        <f ca="1">'预评函-2'!R5</f>
        <v>140630</v>
      </c>
    </row>
    <row r="49" spans="1:2">
      <c r="A49" s="2904" t="s">
        <v>2748</v>
      </c>
      <c r="B49" s="2905" t="str">
        <f>'预评函-2'!A6</f>
        <v>抵押价格</v>
      </c>
    </row>
    <row r="50" spans="1:2">
      <c r="A50" s="2904" t="s">
        <v>2733</v>
      </c>
      <c r="B50" s="2905">
        <f ca="1">'预评函-2'!R6</f>
        <v>140630</v>
      </c>
    </row>
    <row r="51" spans="1:2">
      <c r="A51" s="2904" t="s">
        <v>2749</v>
      </c>
      <c r="B51" s="2905" t="str">
        <f>'预评函-2'!A7</f>
        <v>——</v>
      </c>
    </row>
    <row r="52" spans="1:2">
      <c r="A52" s="2904" t="s">
        <v>2734</v>
      </c>
      <c r="B52" s="2905" t="str">
        <f>'预评函-2'!R7</f>
        <v>——</v>
      </c>
    </row>
    <row r="53" spans="1:2">
      <c r="A53" s="2904" t="s">
        <v>2750</v>
      </c>
      <c r="B53" s="2905" t="str">
        <f>'预评函-2'!A8</f>
        <v>——</v>
      </c>
    </row>
    <row r="54" spans="1:2" s="2919" customFormat="1" ht="15" thickBot="1">
      <c r="A54" s="2926" t="s">
        <v>2735</v>
      </c>
      <c r="B54" s="2927" t="str">
        <f>'预评函-2'!R8</f>
        <v>——</v>
      </c>
    </row>
    <row r="55" spans="1:2" ht="15" thickTop="1">
      <c r="A55" s="2915" t="s">
        <v>2685</v>
      </c>
      <c r="B55" s="2916" t="str">
        <f>'预评函-3'!A2</f>
        <v>1.权利限制：根据估价对象《不动产权证书》原件、《国有土地使用权》复印件，截至估价期日，估价对象抵押权未见登记。未设定租赁等其他他项权利。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2.基础设施条件：估价对象实际开发程度为红线外七通、宗地红线内；本次评估设定开发程度为红线外七通、宗地红线内场地。</v>
      </c>
    </row>
    <row r="57" spans="1:2">
      <c r="A57" s="2904" t="s">
        <v>2687</v>
      </c>
      <c r="B57" s="2905" t="str">
        <f>'预评函-3'!A4</f>
        <v>3.估价规划限制条件：详见《建设工程规划许可证》[]、《出让合同》[]。</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土地估价师</v>
      </c>
    </row>
    <row r="70" spans="1:2">
      <c r="A70" s="2904" t="s">
        <v>2697</v>
      </c>
      <c r="B70" s="2911">
        <f>'预评函-3'!B20</f>
        <v>0</v>
      </c>
    </row>
    <row r="71" spans="1:2">
      <c r="A71" s="2904" t="s">
        <v>2698</v>
      </c>
      <c r="B71" s="2905" t="str">
        <f>'预评函-3'!A21</f>
        <v>土地估价师</v>
      </c>
    </row>
    <row r="72" spans="1:2" s="2919" customFormat="1" ht="15" thickBot="1">
      <c r="A72" s="2926" t="s">
        <v>2698</v>
      </c>
      <c r="B72" s="2932">
        <f>'预评函-3'!B21</f>
        <v>0</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2794</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6"/>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2659</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21821</v>
      </c>
      <c r="D13" s="451"/>
      <c r="E13" s="365"/>
      <c r="F13" s="452"/>
      <c r="G13" s="444"/>
      <c r="H13" s="447"/>
      <c r="I13" s="447"/>
      <c r="J13" s="447"/>
      <c r="K13" s="448"/>
    </row>
    <row r="14" spans="1:41" s="2118" customFormat="1" ht="13.5" customHeight="1">
      <c r="A14" s="1634" t="s">
        <v>1851</v>
      </c>
      <c r="B14" s="449" t="s">
        <v>480</v>
      </c>
      <c r="C14" s="53">
        <f ca="1">ROUND(C13*F14,0)</f>
        <v>655</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1091</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1746</v>
      </c>
      <c r="D16" s="451">
        <f ca="1">IF(B1="",'数据-汇总表'!E3,INDIRECT("'数据-取费表'!K"&amp;$K$1)+INDIRECT("'数据-取费表'!S"&amp;$K$1))</f>
        <v>87282</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327</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25640</v>
      </c>
      <c r="D18" s="461"/>
      <c r="E18" s="462"/>
      <c r="F18" s="462"/>
      <c r="G18" s="1327" t="s">
        <v>2437</v>
      </c>
      <c r="H18" s="447"/>
      <c r="I18" s="447"/>
      <c r="J18" s="447"/>
      <c r="K18" s="448"/>
    </row>
    <row r="19" spans="1:14" s="2121" customFormat="1" ht="13.5" customHeight="1">
      <c r="A19" s="1635" t="s">
        <v>1856</v>
      </c>
      <c r="B19" s="459" t="s">
        <v>493</v>
      </c>
      <c r="C19" s="460">
        <f ca="1">ROUND(C18*F19,0)</f>
        <v>513</v>
      </c>
      <c r="D19" s="462"/>
      <c r="E19" s="462"/>
      <c r="F19" s="466">
        <f>'数据-取费表'!B37</f>
        <v>0.02</v>
      </c>
      <c r="G19" s="444" t="s">
        <v>504</v>
      </c>
      <c r="H19" s="447"/>
      <c r="I19" s="447"/>
      <c r="J19" s="447"/>
      <c r="K19" s="448"/>
      <c r="L19" s="2123"/>
      <c r="M19" s="2123"/>
      <c r="N19" s="2123"/>
    </row>
    <row r="20" spans="1:14" s="2121" customFormat="1" ht="13.5" customHeight="1">
      <c r="A20" s="1635" t="s">
        <v>1857</v>
      </c>
      <c r="B20" s="459" t="s">
        <v>505</v>
      </c>
      <c r="C20" s="3057">
        <f>F20</f>
        <v>0.02</v>
      </c>
      <c r="D20" s="469" t="s">
        <v>506</v>
      </c>
      <c r="E20" s="469"/>
      <c r="F20" s="486">
        <f>'数据-取费表'!B38</f>
        <v>0.02</v>
      </c>
      <c r="G20" s="1327" t="s">
        <v>507</v>
      </c>
      <c r="H20" s="447"/>
      <c r="I20" s="447"/>
      <c r="J20" s="447"/>
      <c r="K20" s="448"/>
      <c r="L20" s="2123"/>
      <c r="M20" s="2123"/>
      <c r="N20" s="2123"/>
    </row>
    <row r="21" spans="1:14" s="2123" customFormat="1" ht="13.5" customHeight="1">
      <c r="A21" s="1635" t="s">
        <v>1860</v>
      </c>
      <c r="B21" s="461" t="s">
        <v>494</v>
      </c>
      <c r="C21" s="470">
        <f ca="1">C22</f>
        <v>1242</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1242</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9" t="s">
        <v>2839</v>
      </c>
      <c r="C24" s="478">
        <f ca="1">C25</f>
        <v>3923</v>
      </c>
      <c r="D24" s="489">
        <f ca="1">C26</f>
        <v>3.0000000000000001E-3</v>
      </c>
      <c r="E24" s="469" t="s">
        <v>508</v>
      </c>
      <c r="F24" s="479">
        <f ca="1">IF(B1="",'数据-取费表'!Q16,INDIRECT("'数据-取费表'!q"&amp;$K$1))</f>
        <v>0.15</v>
      </c>
      <c r="G24" s="444"/>
      <c r="H24" s="447"/>
      <c r="I24" s="447"/>
      <c r="J24" s="447"/>
      <c r="K24" s="448"/>
    </row>
    <row r="25" spans="1:14" s="2122" customFormat="1" ht="13.5" customHeight="1">
      <c r="A25" s="1634" t="s">
        <v>1850</v>
      </c>
      <c r="B25" s="1328" t="s">
        <v>2441</v>
      </c>
      <c r="C25" s="490">
        <f ca="1">ROUND((C18+C19)*F24,0)</f>
        <v>3923</v>
      </c>
      <c r="D25" s="472"/>
      <c r="E25" s="473"/>
      <c r="F25" s="480"/>
      <c r="G25" s="1326" t="s">
        <v>2438</v>
      </c>
      <c r="H25" s="457"/>
      <c r="I25" s="457"/>
      <c r="J25" s="457"/>
      <c r="K25" s="458"/>
    </row>
    <row r="26" spans="1:14" s="2122" customFormat="1" ht="13.5" customHeight="1">
      <c r="A26" s="1634" t="s">
        <v>1851</v>
      </c>
      <c r="B26" s="1328" t="s">
        <v>510</v>
      </c>
      <c r="C26" s="491">
        <f ca="1">ROUND(F20*F24,4)</f>
        <v>3.0000000000000001E-3</v>
      </c>
      <c r="D26" s="472"/>
      <c r="E26" s="481"/>
      <c r="F26" s="480"/>
      <c r="G26" s="1326" t="s">
        <v>511</v>
      </c>
      <c r="H26" s="457"/>
      <c r="I26" s="457"/>
      <c r="J26" s="457"/>
      <c r="K26" s="458"/>
    </row>
    <row r="27" spans="1:14" s="2122" customFormat="1" ht="13.5" customHeight="1">
      <c r="A27" s="1638" t="s">
        <v>1869</v>
      </c>
      <c r="B27" s="459" t="s">
        <v>512</v>
      </c>
      <c r="C27" s="3058">
        <f>ROUND(F27/(1+'数据-取费表'!C42),4)</f>
        <v>5.33E-2</v>
      </c>
      <c r="D27" s="462" t="s">
        <v>2837</v>
      </c>
      <c r="E27" s="462"/>
      <c r="F27" s="466">
        <f>'数据-取费表'!B41</f>
        <v>5.6000000000000001E-2</v>
      </c>
      <c r="G27" s="1962" t="s">
        <v>2295</v>
      </c>
      <c r="H27" s="447"/>
      <c r="I27" s="447"/>
      <c r="J27" s="447"/>
      <c r="K27" s="448"/>
    </row>
    <row r="28" spans="1:14" s="2123" customFormat="1" ht="13.5" customHeight="1">
      <c r="A28" s="1638" t="s">
        <v>1870</v>
      </c>
      <c r="B28" s="476" t="s">
        <v>513</v>
      </c>
      <c r="C28" s="470">
        <f ca="1">ROUND((C18+C19+C21+C24)/(1-C20-D21-D24-C27),0)</f>
        <v>33942</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F16" sqref="F16"/>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148563</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17021</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20425</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1362</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661" t="s">
        <v>523</v>
      </c>
      <c r="D6" s="3662"/>
      <c r="E6" s="3661" t="s">
        <v>524</v>
      </c>
      <c r="F6" s="3662"/>
      <c r="G6" s="3661" t="s">
        <v>525</v>
      </c>
      <c r="H6" s="3662"/>
      <c r="I6" s="3661" t="s">
        <v>526</v>
      </c>
      <c r="J6" s="3662"/>
      <c r="K6" s="514" t="s">
        <v>527</v>
      </c>
      <c r="L6" s="2135"/>
      <c r="M6" s="2134"/>
      <c r="N6" s="2134"/>
      <c r="O6" s="2136"/>
      <c r="P6" s="3663" t="s">
        <v>528</v>
      </c>
      <c r="Q6" s="3664"/>
      <c r="R6" s="3669" t="s">
        <v>524</v>
      </c>
      <c r="S6" s="3670"/>
      <c r="T6" s="3669" t="s">
        <v>525</v>
      </c>
      <c r="U6" s="3670"/>
      <c r="V6" s="3656" t="s">
        <v>526</v>
      </c>
      <c r="W6" s="3656"/>
      <c r="X6" s="1568"/>
      <c r="Y6" s="3669" t="s">
        <v>528</v>
      </c>
      <c r="Z6" s="3670"/>
      <c r="AA6" s="3658" t="s">
        <v>524</v>
      </c>
      <c r="AB6" s="3659" t="s">
        <v>525</v>
      </c>
      <c r="AC6" s="3658" t="s">
        <v>526</v>
      </c>
    </row>
    <row r="7" spans="1:30" ht="20.25">
      <c r="A7" s="515"/>
      <c r="B7" s="516"/>
      <c r="C7" s="3677" t="s">
        <v>2938</v>
      </c>
      <c r="D7" s="3678"/>
      <c r="E7" s="3677" t="s">
        <v>2939</v>
      </c>
      <c r="F7" s="3678"/>
      <c r="G7" s="3677" t="s">
        <v>2940</v>
      </c>
      <c r="H7" s="3678"/>
      <c r="I7" s="3677" t="s">
        <v>2941</v>
      </c>
      <c r="J7" s="3678"/>
      <c r="K7" s="514"/>
      <c r="L7" s="2135"/>
      <c r="M7" s="2134"/>
      <c r="N7" s="2134"/>
      <c r="O7" s="2136"/>
      <c r="P7" s="3665"/>
      <c r="Q7" s="3666"/>
      <c r="R7" s="3671"/>
      <c r="S7" s="3672"/>
      <c r="T7" s="3671"/>
      <c r="U7" s="3672"/>
      <c r="V7" s="3656"/>
      <c r="W7" s="3656"/>
      <c r="X7" s="1568"/>
      <c r="Y7" s="3671"/>
      <c r="Z7" s="3672"/>
      <c r="AA7" s="3659"/>
      <c r="AB7" s="3659"/>
      <c r="AC7" s="3659"/>
    </row>
    <row r="8" spans="1:30" ht="21" thickBot="1">
      <c r="A8" s="515"/>
      <c r="B8" s="516"/>
      <c r="C8" s="3679" t="s">
        <v>2942</v>
      </c>
      <c r="D8" s="3680"/>
      <c r="E8" s="3679" t="s">
        <v>2942</v>
      </c>
      <c r="F8" s="3680"/>
      <c r="G8" s="3675" t="s">
        <v>2942</v>
      </c>
      <c r="H8" s="3676"/>
      <c r="I8" s="3675" t="s">
        <v>2942</v>
      </c>
      <c r="J8" s="3676"/>
      <c r="K8" s="514" t="s">
        <v>529</v>
      </c>
      <c r="L8" s="2135"/>
      <c r="M8" s="2134"/>
      <c r="N8" s="2134"/>
      <c r="O8" s="2136"/>
      <c r="P8" s="3667"/>
      <c r="Q8" s="3668"/>
      <c r="R8" s="3671"/>
      <c r="S8" s="3672"/>
      <c r="T8" s="3673"/>
      <c r="U8" s="3674"/>
      <c r="V8" s="3656"/>
      <c r="W8" s="3656"/>
      <c r="X8" s="1568"/>
      <c r="Y8" s="3673"/>
      <c r="Z8" s="3674"/>
      <c r="AA8" s="3660"/>
      <c r="AB8" s="3660"/>
      <c r="AC8" s="3660"/>
    </row>
    <row r="9" spans="1:30" s="1220" customFormat="1" ht="21" thickBot="1">
      <c r="A9" s="2939"/>
      <c r="B9" s="2946" t="s">
        <v>530</v>
      </c>
      <c r="C9" s="2938">
        <f>'数据-取费表'!B2</f>
        <v>43174</v>
      </c>
      <c r="D9" s="520">
        <v>100</v>
      </c>
      <c r="E9" s="521" t="str">
        <f>土地案例!H2</f>
        <v>2017-11-14</v>
      </c>
      <c r="F9" s="522">
        <f>SUMIF(72:72,YEAR(E9)&amp;"-"&amp;INT((MONTH(E9)+2)/3),73:73)</f>
        <v>100</v>
      </c>
      <c r="G9" s="523" t="str">
        <f>土地案例!H3</f>
        <v>2017-11-14</v>
      </c>
      <c r="H9" s="520">
        <f>SUMIF(72:72,YEAR(G9)&amp;"-"&amp;INT((MONTH(G9)+2)/3),73:73)</f>
        <v>100</v>
      </c>
      <c r="I9" s="523" t="str">
        <f>土地案例!H12</f>
        <v>2017-08-31</v>
      </c>
      <c r="J9" s="520">
        <f>SUMIF(72:72,YEAR(I9)&amp;"-"&amp;INT((MONTH(I9)+2)/3),73:73)</f>
        <v>100</v>
      </c>
      <c r="K9" s="524"/>
      <c r="L9" s="2137"/>
      <c r="M9" s="2134"/>
      <c r="N9" s="2134"/>
      <c r="O9" s="2138"/>
      <c r="P9" s="3686" t="s">
        <v>531</v>
      </c>
      <c r="Q9" s="3688"/>
      <c r="R9" s="1569" t="s">
        <v>8</v>
      </c>
      <c r="S9" s="1570">
        <f t="shared" ref="S9:S17" si="0">F9</f>
        <v>100</v>
      </c>
      <c r="T9" s="1569" t="s">
        <v>8</v>
      </c>
      <c r="U9" s="1570">
        <f t="shared" ref="U9:U17" si="1">H9</f>
        <v>100</v>
      </c>
      <c r="V9" s="1569" t="s">
        <v>8</v>
      </c>
      <c r="W9" s="1570">
        <f t="shared" ref="W9:W17" si="2">J9</f>
        <v>100</v>
      </c>
      <c r="X9" s="1571"/>
      <c r="Y9" s="3686" t="s">
        <v>531</v>
      </c>
      <c r="Z9" s="3687"/>
      <c r="AA9" s="1572">
        <f>D9/F9</f>
        <v>1</v>
      </c>
      <c r="AB9" s="1572">
        <f>D9/H9</f>
        <v>1</v>
      </c>
      <c r="AC9" s="1572">
        <f>D9/J9</f>
        <v>1</v>
      </c>
    </row>
    <row r="10" spans="1:30" s="1220" customFormat="1" ht="21" thickBot="1">
      <c r="A10" s="2940"/>
      <c r="B10" s="2947" t="s">
        <v>532</v>
      </c>
      <c r="C10" s="856" t="s">
        <v>533</v>
      </c>
      <c r="D10" s="520">
        <v>100</v>
      </c>
      <c r="E10" s="525" t="s">
        <v>3333</v>
      </c>
      <c r="F10" s="522">
        <f>SUMIF(75:75,E10,76:76)-SUMIF(75:75,C10,76:76)+100</f>
        <v>100</v>
      </c>
      <c r="G10" s="525" t="s">
        <v>3333</v>
      </c>
      <c r="H10" s="520">
        <f>SUMIF(75:75,G10,76:76)-SUMIF(75:75,C10,76:76)+100</f>
        <v>100</v>
      </c>
      <c r="I10" s="525" t="s">
        <v>3333</v>
      </c>
      <c r="J10" s="520">
        <f>SUMIF(75:75,I10,76:76)-SUMIF(75:75,C10,76:76)+100</f>
        <v>100</v>
      </c>
      <c r="K10" s="524"/>
      <c r="L10" s="2137"/>
      <c r="M10" s="2134"/>
      <c r="N10" s="2134"/>
      <c r="O10" s="2138"/>
      <c r="P10" s="3686" t="s">
        <v>534</v>
      </c>
      <c r="Q10" s="3687"/>
      <c r="R10" s="1569" t="s">
        <v>8</v>
      </c>
      <c r="S10" s="1570">
        <f t="shared" si="0"/>
        <v>100</v>
      </c>
      <c r="T10" s="1569" t="s">
        <v>8</v>
      </c>
      <c r="U10" s="1570">
        <f t="shared" si="1"/>
        <v>100</v>
      </c>
      <c r="V10" s="1569" t="s">
        <v>8</v>
      </c>
      <c r="W10" s="1570">
        <f t="shared" si="2"/>
        <v>100</v>
      </c>
      <c r="X10" s="1571"/>
      <c r="Y10" s="3686" t="s">
        <v>534</v>
      </c>
      <c r="Z10" s="3687"/>
      <c r="AA10" s="1572">
        <f t="shared" ref="AA10:AA47" si="3">D10/F10</f>
        <v>1</v>
      </c>
      <c r="AB10" s="1572">
        <f t="shared" ref="AB10:AB47" si="4">D10/H10</f>
        <v>1</v>
      </c>
      <c r="AC10" s="1572">
        <f t="shared" ref="AC10:AC47" si="5">D10/J10</f>
        <v>1</v>
      </c>
    </row>
    <row r="11" spans="1:30" s="1220" customFormat="1" ht="20.25">
      <c r="A11" s="2941"/>
      <c r="B11" s="2948" t="s">
        <v>2763</v>
      </c>
      <c r="C11" s="2935"/>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655" t="s">
        <v>536</v>
      </c>
      <c r="Q11" s="1151" t="str">
        <f t="shared" ref="Q11:Q17" si="6">B11</f>
        <v>用途</v>
      </c>
      <c r="R11" s="1569" t="s">
        <v>8</v>
      </c>
      <c r="S11" s="1570">
        <f t="shared" si="0"/>
        <v>100</v>
      </c>
      <c r="T11" s="1569" t="s">
        <v>8</v>
      </c>
      <c r="U11" s="1570">
        <f t="shared" si="1"/>
        <v>100</v>
      </c>
      <c r="V11" s="1569" t="s">
        <v>8</v>
      </c>
      <c r="W11" s="1570">
        <f t="shared" si="2"/>
        <v>100</v>
      </c>
      <c r="X11" s="1571"/>
      <c r="Y11" s="3601" t="s">
        <v>537</v>
      </c>
      <c r="Z11" s="1150" t="str">
        <f t="shared" ref="Z11:Z17" si="7">Q11</f>
        <v>用途</v>
      </c>
      <c r="AA11" s="1572">
        <f t="shared" si="3"/>
        <v>1</v>
      </c>
      <c r="AB11" s="1572">
        <f t="shared" si="4"/>
        <v>1</v>
      </c>
      <c r="AC11" s="1572">
        <f t="shared" si="5"/>
        <v>1</v>
      </c>
    </row>
    <row r="12" spans="1:30" s="1338" customFormat="1" ht="27">
      <c r="A12" s="2942"/>
      <c r="B12" s="2947" t="s">
        <v>2764</v>
      </c>
      <c r="C12" s="910"/>
      <c r="D12" s="255">
        <v>100</v>
      </c>
      <c r="E12" s="529"/>
      <c r="F12" s="255">
        <f>ROUND(100/'数据-取费表'!G16,0)</f>
        <v>101</v>
      </c>
      <c r="G12" s="530"/>
      <c r="H12" s="255">
        <f>ROUND(100/'数据-取费表'!G16,0)</f>
        <v>101</v>
      </c>
      <c r="I12" s="530"/>
      <c r="J12" s="255">
        <f>ROUND(100/'数据-取费表'!G16,0)</f>
        <v>101</v>
      </c>
      <c r="K12" s="531"/>
      <c r="L12" s="2140"/>
      <c r="M12" s="2134"/>
      <c r="N12" s="2134"/>
      <c r="O12" s="2141"/>
      <c r="P12" s="3655"/>
      <c r="Q12" s="1151" t="str">
        <f t="shared" si="6"/>
        <v>土地使用年限（年）</v>
      </c>
      <c r="R12" s="1569" t="s">
        <v>8</v>
      </c>
      <c r="S12" s="1570">
        <f t="shared" si="0"/>
        <v>101</v>
      </c>
      <c r="T12" s="1569" t="s">
        <v>8</v>
      </c>
      <c r="U12" s="1570">
        <f t="shared" si="1"/>
        <v>101</v>
      </c>
      <c r="V12" s="1569" t="s">
        <v>8</v>
      </c>
      <c r="W12" s="1570">
        <f t="shared" si="2"/>
        <v>101</v>
      </c>
      <c r="X12" s="1571"/>
      <c r="Y12" s="3601"/>
      <c r="Z12" s="1150" t="str">
        <f t="shared" si="7"/>
        <v>土地使用年限（年）</v>
      </c>
      <c r="AA12" s="1572">
        <f t="shared" si="3"/>
        <v>0.99009900990099009</v>
      </c>
      <c r="AB12" s="1572">
        <f t="shared" si="4"/>
        <v>0.99009900990099009</v>
      </c>
      <c r="AC12" s="1572">
        <f t="shared" si="5"/>
        <v>0.99009900990099009</v>
      </c>
    </row>
    <row r="13" spans="1:30" ht="20.25">
      <c r="A13" s="2943"/>
      <c r="B13" s="2947" t="s">
        <v>2765</v>
      </c>
      <c r="C13" s="534">
        <f>'数据-汇总表'!I4</f>
        <v>1.2</v>
      </c>
      <c r="D13" s="255">
        <v>100</v>
      </c>
      <c r="E13" s="533">
        <f>土地案例!F2</f>
        <v>1.6</v>
      </c>
      <c r="F13" s="255">
        <f>LOOKUP(E13,82:82,83:83)-LOOKUP(C13,82:82,83:83)+100</f>
        <v>100</v>
      </c>
      <c r="G13" s="534">
        <f>土地案例!F3</f>
        <v>2</v>
      </c>
      <c r="H13" s="255">
        <f>LOOKUP(G13,82:82,83:83)-LOOKUP(C13,82:82,83:83)+100</f>
        <v>98</v>
      </c>
      <c r="I13" s="533">
        <f>土地案例!F12</f>
        <v>1.8</v>
      </c>
      <c r="J13" s="255">
        <f>LOOKUP(I13,82:82,83:83)-LOOKUP(C13,82:82,83:83)+100</f>
        <v>100</v>
      </c>
      <c r="K13" s="535">
        <v>2</v>
      </c>
      <c r="L13" s="2142"/>
      <c r="M13" s="2134"/>
      <c r="N13" s="2134"/>
      <c r="O13" s="2143"/>
      <c r="P13" s="3655"/>
      <c r="Q13" s="1151" t="str">
        <f t="shared" si="6"/>
        <v>容积率</v>
      </c>
      <c r="R13" s="1569" t="s">
        <v>8</v>
      </c>
      <c r="S13" s="1570">
        <f t="shared" si="0"/>
        <v>100</v>
      </c>
      <c r="T13" s="1569" t="s">
        <v>8</v>
      </c>
      <c r="U13" s="1570">
        <f t="shared" si="1"/>
        <v>98</v>
      </c>
      <c r="V13" s="1569" t="s">
        <v>8</v>
      </c>
      <c r="W13" s="1570">
        <f t="shared" si="2"/>
        <v>100</v>
      </c>
      <c r="X13" s="1571"/>
      <c r="Y13" s="3601"/>
      <c r="Z13" s="1150" t="str">
        <f t="shared" si="7"/>
        <v>容积率</v>
      </c>
      <c r="AA13" s="1572">
        <f t="shared" si="3"/>
        <v>1</v>
      </c>
      <c r="AB13" s="1572">
        <f t="shared" si="4"/>
        <v>1.0204081632653061</v>
      </c>
      <c r="AC13" s="1572">
        <f t="shared" si="5"/>
        <v>1</v>
      </c>
    </row>
    <row r="14" spans="1:30" s="1220" customFormat="1" ht="20.25">
      <c r="A14" s="2940"/>
      <c r="B14" s="2949" t="s">
        <v>2766</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55"/>
      <c r="Q14" s="1151" t="str">
        <f t="shared" si="6"/>
        <v>配建</v>
      </c>
      <c r="R14" s="1569" t="s">
        <v>8</v>
      </c>
      <c r="S14" s="1570">
        <f t="shared" si="0"/>
        <v>100</v>
      </c>
      <c r="T14" s="1569" t="s">
        <v>8</v>
      </c>
      <c r="U14" s="1570">
        <f t="shared" si="1"/>
        <v>100</v>
      </c>
      <c r="V14" s="1569" t="s">
        <v>8</v>
      </c>
      <c r="W14" s="1570">
        <f t="shared" si="2"/>
        <v>100</v>
      </c>
      <c r="X14" s="1571"/>
      <c r="Y14" s="3601"/>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55"/>
      <c r="Q15" s="1151">
        <f t="shared" si="6"/>
        <v>111</v>
      </c>
      <c r="R15" s="1569" t="s">
        <v>8</v>
      </c>
      <c r="S15" s="1570">
        <f t="shared" si="0"/>
        <v>100</v>
      </c>
      <c r="T15" s="1569" t="s">
        <v>8</v>
      </c>
      <c r="U15" s="1570">
        <f t="shared" si="1"/>
        <v>100</v>
      </c>
      <c r="V15" s="1569" t="s">
        <v>8</v>
      </c>
      <c r="W15" s="1570">
        <f t="shared" si="2"/>
        <v>100</v>
      </c>
      <c r="X15" s="1571"/>
      <c r="Y15" s="3601"/>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55"/>
      <c r="Q16" s="1151">
        <f t="shared" si="6"/>
        <v>111</v>
      </c>
      <c r="R16" s="1569" t="s">
        <v>8</v>
      </c>
      <c r="S16" s="1570">
        <f t="shared" si="0"/>
        <v>100</v>
      </c>
      <c r="T16" s="1569" t="s">
        <v>8</v>
      </c>
      <c r="U16" s="1570">
        <f t="shared" si="1"/>
        <v>100</v>
      </c>
      <c r="V16" s="1569" t="s">
        <v>8</v>
      </c>
      <c r="W16" s="1570">
        <f t="shared" si="2"/>
        <v>100</v>
      </c>
      <c r="X16" s="1571"/>
      <c r="Y16" s="3601"/>
      <c r="Z16" s="1150">
        <f t="shared" si="7"/>
        <v>111</v>
      </c>
      <c r="AA16" s="1572">
        <f>D16/F16</f>
        <v>1</v>
      </c>
      <c r="AB16" s="1572">
        <f>D16/H16</f>
        <v>1</v>
      </c>
      <c r="AC16" s="1572">
        <f>D16/J16</f>
        <v>1</v>
      </c>
    </row>
    <row r="17" spans="1:29" ht="99.75">
      <c r="A17" s="2937"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110</v>
      </c>
      <c r="G17" s="550"/>
      <c r="H17" s="549">
        <f>SUMIF(90:90,G18,91:91)-SUMIF(90:90,C18,91:91)+100</f>
        <v>110</v>
      </c>
      <c r="I17" s="552"/>
      <c r="J17" s="549">
        <f>SUMIF(90:90,I18,91:91)-SUMIF(90:90,C18,91:91)+100</f>
        <v>110</v>
      </c>
      <c r="K17" s="535">
        <v>5</v>
      </c>
      <c r="L17" s="2144"/>
      <c r="M17" s="2134"/>
      <c r="N17" s="2134"/>
      <c r="O17" s="2143"/>
      <c r="P17" s="3689" t="s">
        <v>541</v>
      </c>
      <c r="Q17" s="1573" t="str">
        <f t="shared" si="6"/>
        <v>居住社区成熟度</v>
      </c>
      <c r="R17" s="1574" t="s">
        <v>8</v>
      </c>
      <c r="S17" s="1575">
        <f t="shared" si="0"/>
        <v>110</v>
      </c>
      <c r="T17" s="1574" t="s">
        <v>8</v>
      </c>
      <c r="U17" s="1575">
        <f t="shared" si="1"/>
        <v>110</v>
      </c>
      <c r="V17" s="1574" t="s">
        <v>8</v>
      </c>
      <c r="W17" s="1575">
        <f t="shared" si="2"/>
        <v>110</v>
      </c>
      <c r="X17" s="1568"/>
      <c r="Y17" s="3689" t="s">
        <v>541</v>
      </c>
      <c r="Z17" s="1576" t="str">
        <f t="shared" si="7"/>
        <v>居住社区成熟度</v>
      </c>
      <c r="AA17" s="1577">
        <f t="shared" si="3"/>
        <v>0.90909090909090906</v>
      </c>
      <c r="AB17" s="1577">
        <f t="shared" si="4"/>
        <v>0.90909090909090906</v>
      </c>
      <c r="AC17" s="1577">
        <f t="shared" si="5"/>
        <v>0.90909090909090906</v>
      </c>
    </row>
    <row r="18" spans="1:29" ht="20.25">
      <c r="A18" s="532"/>
      <c r="B18" s="553"/>
      <c r="C18" s="554" t="s">
        <v>3334</v>
      </c>
      <c r="D18" s="557"/>
      <c r="E18" s="558" t="s">
        <v>3337</v>
      </c>
      <c r="F18" s="555"/>
      <c r="G18" s="556" t="s">
        <v>3337</v>
      </c>
      <c r="H18" s="559"/>
      <c r="I18" s="558" t="s">
        <v>3337</v>
      </c>
      <c r="J18" s="555"/>
      <c r="K18" s="531"/>
      <c r="L18" s="2144"/>
      <c r="M18" s="2134"/>
      <c r="N18" s="2134"/>
      <c r="O18" s="2143"/>
      <c r="P18" s="3690"/>
      <c r="Q18" s="1573"/>
      <c r="R18" s="1574"/>
      <c r="S18" s="1575"/>
      <c r="T18" s="1574"/>
      <c r="U18" s="1575"/>
      <c r="V18" s="1574"/>
      <c r="W18" s="1575"/>
      <c r="X18" s="1568"/>
      <c r="Y18" s="3690"/>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103</v>
      </c>
      <c r="K19" s="535">
        <v>3</v>
      </c>
      <c r="L19" s="2144"/>
      <c r="M19" s="2134"/>
      <c r="N19" s="2134"/>
      <c r="O19" s="2143"/>
      <c r="P19" s="3690"/>
      <c r="Q19" s="1573" t="str">
        <f>B19</f>
        <v>商业繁华度</v>
      </c>
      <c r="R19" s="1574" t="s">
        <v>8</v>
      </c>
      <c r="S19" s="1575">
        <f>F19</f>
        <v>103</v>
      </c>
      <c r="T19" s="1574" t="s">
        <v>8</v>
      </c>
      <c r="U19" s="1575">
        <f>H19</f>
        <v>103</v>
      </c>
      <c r="V19" s="1574" t="s">
        <v>8</v>
      </c>
      <c r="W19" s="1575">
        <f>J19</f>
        <v>103</v>
      </c>
      <c r="X19" s="1568"/>
      <c r="Y19" s="3690"/>
      <c r="Z19" s="1576" t="str">
        <f>Q19</f>
        <v>商业繁华度</v>
      </c>
      <c r="AA19" s="1577">
        <f t="shared" si="3"/>
        <v>0.970873786407767</v>
      </c>
      <c r="AB19" s="1577">
        <f t="shared" si="4"/>
        <v>0.970873786407767</v>
      </c>
      <c r="AC19" s="1577">
        <f t="shared" si="5"/>
        <v>0.970873786407767</v>
      </c>
    </row>
    <row r="20" spans="1:29" ht="20.25">
      <c r="A20" s="532"/>
      <c r="B20" s="566"/>
      <c r="C20" s="567" t="s">
        <v>3334</v>
      </c>
      <c r="D20" s="563"/>
      <c r="E20" s="569" t="s">
        <v>3335</v>
      </c>
      <c r="F20" s="559"/>
      <c r="G20" s="568" t="s">
        <v>3335</v>
      </c>
      <c r="H20" s="555"/>
      <c r="I20" s="569" t="s">
        <v>3335</v>
      </c>
      <c r="J20" s="555"/>
      <c r="K20" s="531"/>
      <c r="L20" s="2144"/>
      <c r="M20" s="2134"/>
      <c r="N20" s="2134"/>
      <c r="O20" s="2143"/>
      <c r="P20" s="3690"/>
      <c r="Q20" s="1573"/>
      <c r="R20" s="1574"/>
      <c r="S20" s="1575"/>
      <c r="T20" s="1574"/>
      <c r="U20" s="1575"/>
      <c r="V20" s="1574"/>
      <c r="W20" s="1575"/>
      <c r="X20" s="1568"/>
      <c r="Y20" s="3690"/>
      <c r="Z20" s="1576"/>
      <c r="AA20" s="1577">
        <v>1</v>
      </c>
      <c r="AB20" s="1577">
        <v>1</v>
      </c>
      <c r="AC20" s="1577">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44"/>
      <c r="M21" s="2134"/>
      <c r="N21" s="2134"/>
      <c r="O21" s="2143"/>
      <c r="P21" s="3690"/>
      <c r="Q21" s="1573" t="str">
        <f>B21</f>
        <v>办公集聚程度</v>
      </c>
      <c r="R21" s="1574" t="s">
        <v>8</v>
      </c>
      <c r="S21" s="1575">
        <f>F21</f>
        <v>100</v>
      </c>
      <c r="T21" s="1574" t="s">
        <v>8</v>
      </c>
      <c r="U21" s="1575">
        <f>H21</f>
        <v>100</v>
      </c>
      <c r="V21" s="1574" t="s">
        <v>8</v>
      </c>
      <c r="W21" s="1575">
        <f>J21</f>
        <v>100</v>
      </c>
      <c r="X21" s="1568"/>
      <c r="Y21" s="3690"/>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690"/>
      <c r="Q22" s="1573"/>
      <c r="R22" s="1574"/>
      <c r="S22" s="1575"/>
      <c r="T22" s="1574"/>
      <c r="U22" s="1575"/>
      <c r="V22" s="1574"/>
      <c r="W22" s="1575"/>
      <c r="X22" s="1568"/>
      <c r="Y22" s="3690"/>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103</v>
      </c>
      <c r="I23" s="564"/>
      <c r="J23" s="559">
        <f>SUMIF(96:96,I24,97:97)-SUMIF(96:96,C24,97:97)+100</f>
        <v>103</v>
      </c>
      <c r="K23" s="535">
        <v>3</v>
      </c>
      <c r="L23" s="2144"/>
      <c r="M23" s="2134"/>
      <c r="N23" s="2134"/>
      <c r="O23" s="2143"/>
      <c r="P23" s="3690"/>
      <c r="Q23" s="1573" t="str">
        <f>B23</f>
        <v>交通便捷度</v>
      </c>
      <c r="R23" s="1574" t="s">
        <v>8</v>
      </c>
      <c r="S23" s="1575">
        <f>F23</f>
        <v>103</v>
      </c>
      <c r="T23" s="1574" t="s">
        <v>8</v>
      </c>
      <c r="U23" s="1575">
        <f>H23</f>
        <v>103</v>
      </c>
      <c r="V23" s="1574" t="s">
        <v>8</v>
      </c>
      <c r="W23" s="1575">
        <f>J23</f>
        <v>103</v>
      </c>
      <c r="X23" s="1568"/>
      <c r="Y23" s="3690"/>
      <c r="Z23" s="1576" t="str">
        <f>Q23</f>
        <v>交通便捷度</v>
      </c>
      <c r="AA23" s="1577">
        <f t="shared" si="3"/>
        <v>0.970873786407767</v>
      </c>
      <c r="AB23" s="1577">
        <f t="shared" si="4"/>
        <v>0.970873786407767</v>
      </c>
      <c r="AC23" s="1577">
        <f t="shared" si="5"/>
        <v>0.970873786407767</v>
      </c>
    </row>
    <row r="24" spans="1:29" ht="20.25">
      <c r="A24" s="532"/>
      <c r="B24" s="578"/>
      <c r="C24" s="554" t="s">
        <v>3334</v>
      </c>
      <c r="D24" s="557"/>
      <c r="E24" s="558" t="s">
        <v>3335</v>
      </c>
      <c r="F24" s="555"/>
      <c r="G24" s="556" t="s">
        <v>3335</v>
      </c>
      <c r="H24" s="555"/>
      <c r="I24" s="558" t="s">
        <v>3335</v>
      </c>
      <c r="J24" s="555"/>
      <c r="K24" s="531"/>
      <c r="L24" s="2144"/>
      <c r="M24" s="2134"/>
      <c r="N24" s="2134"/>
      <c r="O24" s="2143"/>
      <c r="P24" s="3690"/>
      <c r="Q24" s="1573"/>
      <c r="R24" s="1574"/>
      <c r="S24" s="1575"/>
      <c r="T24" s="1574"/>
      <c r="U24" s="1575"/>
      <c r="V24" s="1574"/>
      <c r="W24" s="1575"/>
      <c r="X24" s="1568"/>
      <c r="Y24" s="3690"/>
      <c r="Z24" s="1576"/>
      <c r="AA24" s="1577">
        <v>1</v>
      </c>
      <c r="AB24" s="1577">
        <v>1</v>
      </c>
      <c r="AC24" s="1577">
        <v>1</v>
      </c>
    </row>
    <row r="25" spans="1:29" ht="27">
      <c r="A25" s="515"/>
      <c r="B25" s="259" t="s">
        <v>545</v>
      </c>
      <c r="C25" s="573">
        <f>估价对象房地状况!C19</f>
        <v>0</v>
      </c>
      <c r="D25" s="563">
        <v>100</v>
      </c>
      <c r="E25" s="564"/>
      <c r="F25" s="565">
        <f>SUMIF(98:98,E26,99:99)-SUMIF(98:98,C26,99:99)+100</f>
        <v>103</v>
      </c>
      <c r="G25" s="562"/>
      <c r="H25" s="559">
        <f>SUMIF(98:98,G26,99:99)-SUMIF(98:98,C26,99:99)+100</f>
        <v>103</v>
      </c>
      <c r="I25" s="564"/>
      <c r="J25" s="559">
        <f>SUMIF(98:98,I26,99:99)-SUMIF(98:98,C26,99:99)+100</f>
        <v>103</v>
      </c>
      <c r="K25" s="535">
        <v>3</v>
      </c>
      <c r="L25" s="2144"/>
      <c r="M25" s="2134"/>
      <c r="N25" s="2134"/>
      <c r="O25" s="2143"/>
      <c r="P25" s="3690"/>
      <c r="Q25" s="1573" t="str">
        <f t="shared" ref="Q25:Q39" si="8">B25</f>
        <v>区域土地利用方向</v>
      </c>
      <c r="R25" s="1574" t="s">
        <v>8</v>
      </c>
      <c r="S25" s="1575">
        <f>F25</f>
        <v>103</v>
      </c>
      <c r="T25" s="1574" t="s">
        <v>8</v>
      </c>
      <c r="U25" s="1575">
        <f>H25</f>
        <v>103</v>
      </c>
      <c r="V25" s="1574" t="s">
        <v>8</v>
      </c>
      <c r="W25" s="1575">
        <f>J25</f>
        <v>103</v>
      </c>
      <c r="X25" s="1568"/>
      <c r="Y25" s="3690"/>
      <c r="Z25" s="1576" t="str">
        <f>Q25</f>
        <v>区域土地利用方向</v>
      </c>
      <c r="AA25" s="1577">
        <f t="shared" si="3"/>
        <v>0.970873786407767</v>
      </c>
      <c r="AB25" s="1577">
        <f t="shared" si="4"/>
        <v>0.970873786407767</v>
      </c>
      <c r="AC25" s="1577">
        <f t="shared" si="5"/>
        <v>0.970873786407767</v>
      </c>
    </row>
    <row r="26" spans="1:29" ht="20.25">
      <c r="A26" s="515"/>
      <c r="B26" s="1007"/>
      <c r="C26" s="554" t="s">
        <v>3334</v>
      </c>
      <c r="D26" s="557"/>
      <c r="E26" s="558" t="s">
        <v>3335</v>
      </c>
      <c r="F26" s="555"/>
      <c r="G26" s="556" t="s">
        <v>3335</v>
      </c>
      <c r="H26" s="555"/>
      <c r="I26" s="558" t="s">
        <v>3335</v>
      </c>
      <c r="J26" s="555"/>
      <c r="K26" s="531"/>
      <c r="L26" s="2144"/>
      <c r="M26" s="2134"/>
      <c r="N26" s="2134"/>
      <c r="O26" s="2143"/>
      <c r="P26" s="3690"/>
      <c r="Q26" s="1573"/>
      <c r="R26" s="1574"/>
      <c r="S26" s="1575"/>
      <c r="T26" s="1574"/>
      <c r="U26" s="1575"/>
      <c r="V26" s="1574"/>
      <c r="W26" s="1575"/>
      <c r="X26" s="1568"/>
      <c r="Y26" s="3690"/>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103</v>
      </c>
      <c r="G27" s="562"/>
      <c r="H27" s="559">
        <f>SUMIF(100:100,G28,101:101)-SUMIF(100:100,C28,101:101)+100</f>
        <v>103</v>
      </c>
      <c r="I27" s="564"/>
      <c r="J27" s="559">
        <f>SUMIF(100:100,I28,101:101)-SUMIF(100:100,C28,101:101)+100</f>
        <v>103</v>
      </c>
      <c r="K27" s="535">
        <v>3</v>
      </c>
      <c r="L27" s="2144"/>
      <c r="M27" s="2134"/>
      <c r="N27" s="2134"/>
      <c r="O27" s="2143"/>
      <c r="P27" s="3690"/>
      <c r="Q27" s="1573" t="str">
        <f t="shared" si="8"/>
        <v>自然及人文环境状况</v>
      </c>
      <c r="R27" s="1574" t="s">
        <v>8</v>
      </c>
      <c r="S27" s="1575">
        <f>F27</f>
        <v>103</v>
      </c>
      <c r="T27" s="1574" t="s">
        <v>8</v>
      </c>
      <c r="U27" s="1575">
        <f>H27</f>
        <v>103</v>
      </c>
      <c r="V27" s="1574" t="s">
        <v>8</v>
      </c>
      <c r="W27" s="1575">
        <f>J27</f>
        <v>103</v>
      </c>
      <c r="X27" s="1568"/>
      <c r="Y27" s="3690"/>
      <c r="Z27" s="1576" t="str">
        <f>Q27</f>
        <v>自然及人文环境状况</v>
      </c>
      <c r="AA27" s="1577">
        <f t="shared" si="3"/>
        <v>0.970873786407767</v>
      </c>
      <c r="AB27" s="1577">
        <f t="shared" si="4"/>
        <v>0.970873786407767</v>
      </c>
      <c r="AC27" s="1577">
        <f t="shared" si="5"/>
        <v>0.970873786407767</v>
      </c>
    </row>
    <row r="28" spans="1:29" ht="20.25">
      <c r="A28" s="515"/>
      <c r="B28" s="566"/>
      <c r="C28" s="554" t="s">
        <v>3334</v>
      </c>
      <c r="D28" s="557"/>
      <c r="E28" s="576" t="s">
        <v>3335</v>
      </c>
      <c r="F28" s="555"/>
      <c r="G28" s="554" t="s">
        <v>3335</v>
      </c>
      <c r="H28" s="555"/>
      <c r="I28" s="576" t="s">
        <v>3335</v>
      </c>
      <c r="J28" s="555"/>
      <c r="K28" s="531"/>
      <c r="L28" s="2144"/>
      <c r="M28" s="2134"/>
      <c r="N28" s="2134"/>
      <c r="O28" s="2143"/>
      <c r="P28" s="3690"/>
      <c r="Q28" s="1573"/>
      <c r="R28" s="1574"/>
      <c r="S28" s="1575"/>
      <c r="T28" s="1574"/>
      <c r="U28" s="1575"/>
      <c r="V28" s="1574"/>
      <c r="W28" s="1575"/>
      <c r="X28" s="1568"/>
      <c r="Y28" s="3690"/>
      <c r="Z28" s="1576"/>
      <c r="AA28" s="1577">
        <v>1</v>
      </c>
      <c r="AB28" s="1577">
        <v>1</v>
      </c>
      <c r="AC28" s="1577">
        <v>1</v>
      </c>
    </row>
    <row r="29" spans="1:29" s="1220" customFormat="1" ht="42.75">
      <c r="A29" s="577"/>
      <c r="B29" s="2617" t="s">
        <v>2555</v>
      </c>
      <c r="C29" s="573" t="str">
        <f>估价对象房地状况!C21</f>
        <v>估价对象所在区域公共配套设施齐备情况</v>
      </c>
      <c r="D29" s="563">
        <v>100</v>
      </c>
      <c r="E29" s="564"/>
      <c r="F29" s="559">
        <f>SUMIF(102:102,E30,103:103)-SUMIF(102:102,C30,103:103)+100</f>
        <v>106</v>
      </c>
      <c r="G29" s="562"/>
      <c r="H29" s="559">
        <f>SUMIF(102:102,G30,103:103)-SUMIF(102:102,C30,103:103)+100</f>
        <v>106</v>
      </c>
      <c r="I29" s="564"/>
      <c r="J29" s="559">
        <f>SUMIF(102:102,I30,103:103)-SUMIF(102:102,C30,103:103)+100</f>
        <v>106</v>
      </c>
      <c r="K29" s="535">
        <v>3</v>
      </c>
      <c r="L29" s="2137"/>
      <c r="M29" s="2134"/>
      <c r="N29" s="2134"/>
      <c r="O29" s="2139"/>
      <c r="P29" s="3690"/>
      <c r="Q29" s="1151" t="str">
        <f t="shared" si="8"/>
        <v>公共配套设施</v>
      </c>
      <c r="R29" s="1569" t="s">
        <v>8</v>
      </c>
      <c r="S29" s="1570">
        <f>F29</f>
        <v>106</v>
      </c>
      <c r="T29" s="1569" t="s">
        <v>8</v>
      </c>
      <c r="U29" s="1570">
        <f>H29</f>
        <v>106</v>
      </c>
      <c r="V29" s="1569" t="s">
        <v>8</v>
      </c>
      <c r="W29" s="1570">
        <f>J29</f>
        <v>106</v>
      </c>
      <c r="X29" s="1571"/>
      <c r="Y29" s="3690"/>
      <c r="Z29" s="1150" t="str">
        <f>Q29</f>
        <v>公共配套设施</v>
      </c>
      <c r="AA29" s="1577">
        <f>D29/F29</f>
        <v>0.94339622641509435</v>
      </c>
      <c r="AB29" s="1577">
        <f>D29/H29</f>
        <v>0.94339622641509435</v>
      </c>
      <c r="AC29" s="1577">
        <f>D29/J29</f>
        <v>0.94339622641509435</v>
      </c>
    </row>
    <row r="30" spans="1:29" s="1220" customFormat="1" ht="20.25">
      <c r="A30" s="577"/>
      <c r="B30" s="566"/>
      <c r="C30" s="579" t="s">
        <v>3334</v>
      </c>
      <c r="D30" s="557"/>
      <c r="E30" s="576" t="s">
        <v>3337</v>
      </c>
      <c r="F30" s="555"/>
      <c r="G30" s="554" t="s">
        <v>3337</v>
      </c>
      <c r="H30" s="555"/>
      <c r="I30" s="576" t="s">
        <v>3337</v>
      </c>
      <c r="J30" s="555"/>
      <c r="K30" s="531"/>
      <c r="L30" s="2137"/>
      <c r="M30" s="2134"/>
      <c r="N30" s="2134"/>
      <c r="O30" s="2139"/>
      <c r="P30" s="3690"/>
      <c r="Q30" s="1151"/>
      <c r="R30" s="1569"/>
      <c r="S30" s="1570"/>
      <c r="T30" s="1569"/>
      <c r="U30" s="1570"/>
      <c r="V30" s="1569"/>
      <c r="W30" s="1570"/>
      <c r="X30" s="1571"/>
      <c r="Y30" s="3690"/>
      <c r="Z30" s="1150"/>
      <c r="AA30" s="1577">
        <v>1</v>
      </c>
      <c r="AB30" s="1577">
        <v>1</v>
      </c>
      <c r="AC30" s="1577">
        <v>1</v>
      </c>
    </row>
    <row r="31" spans="1:29" s="1220" customFormat="1" ht="28.5">
      <c r="A31" s="577"/>
      <c r="B31" s="2617"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690"/>
      <c r="Q31" s="2604" t="str">
        <f t="shared" ref="Q31" si="9">B31</f>
        <v>基础设施水平</v>
      </c>
      <c r="R31" s="1569" t="s">
        <v>8</v>
      </c>
      <c r="S31" s="1570">
        <f>F31</f>
        <v>100</v>
      </c>
      <c r="T31" s="1569" t="s">
        <v>8</v>
      </c>
      <c r="U31" s="1570">
        <f>H31</f>
        <v>100</v>
      </c>
      <c r="V31" s="1569" t="s">
        <v>8</v>
      </c>
      <c r="W31" s="1570">
        <f>J31</f>
        <v>100</v>
      </c>
      <c r="X31" s="1571"/>
      <c r="Y31" s="3690"/>
      <c r="Z31" s="2601" t="str">
        <f>Q31</f>
        <v>基础设施水平</v>
      </c>
      <c r="AA31" s="1577">
        <f>D31/F31</f>
        <v>1</v>
      </c>
      <c r="AB31" s="1577">
        <f>D31/H31</f>
        <v>1</v>
      </c>
      <c r="AC31" s="1577">
        <f>D31/J31</f>
        <v>1</v>
      </c>
    </row>
    <row r="32" spans="1:29" s="1220" customFormat="1" ht="20.25">
      <c r="A32" s="577"/>
      <c r="B32" s="566"/>
      <c r="C32" s="579"/>
      <c r="D32" s="557"/>
      <c r="E32" s="2618"/>
      <c r="F32" s="555"/>
      <c r="G32" s="579"/>
      <c r="H32" s="555"/>
      <c r="I32" s="579"/>
      <c r="J32" s="555"/>
      <c r="K32" s="531"/>
      <c r="L32" s="2137"/>
      <c r="M32" s="2134"/>
      <c r="N32" s="2134"/>
      <c r="O32" s="2139"/>
      <c r="P32" s="3690"/>
      <c r="Q32" s="2604"/>
      <c r="R32" s="1569"/>
      <c r="S32" s="1570"/>
      <c r="T32" s="1569"/>
      <c r="U32" s="1570"/>
      <c r="V32" s="1569"/>
      <c r="W32" s="1570"/>
      <c r="X32" s="1571"/>
      <c r="Y32" s="3690"/>
      <c r="Z32" s="2601"/>
      <c r="AA32" s="1577">
        <v>1</v>
      </c>
      <c r="AB32" s="1577">
        <v>1</v>
      </c>
      <c r="AC32" s="1577">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69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690"/>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690"/>
      <c r="Q34" s="1573" t="str">
        <f t="shared" si="8"/>
        <v>毗邻道路的类型与等级</v>
      </c>
      <c r="R34" s="1574" t="s">
        <v>8</v>
      </c>
      <c r="S34" s="1575">
        <f t="shared" si="10"/>
        <v>100</v>
      </c>
      <c r="T34" s="1574" t="s">
        <v>8</v>
      </c>
      <c r="U34" s="1575">
        <f t="shared" si="11"/>
        <v>100</v>
      </c>
      <c r="V34" s="1574" t="s">
        <v>8</v>
      </c>
      <c r="W34" s="1575">
        <f t="shared" si="12"/>
        <v>100</v>
      </c>
      <c r="X34" s="1568"/>
      <c r="Y34" s="3690"/>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690"/>
      <c r="Q35" s="1573"/>
      <c r="R35" s="1574"/>
      <c r="S35" s="1575"/>
      <c r="T35" s="1574"/>
      <c r="U35" s="1575"/>
      <c r="V35" s="1574"/>
      <c r="W35" s="1575"/>
      <c r="X35" s="1568"/>
      <c r="Y35" s="3690"/>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690"/>
      <c r="Q36" s="1573" t="str">
        <f t="shared" si="8"/>
        <v>土地级别</v>
      </c>
      <c r="R36" s="1574" t="s">
        <v>8</v>
      </c>
      <c r="S36" s="1575">
        <f t="shared" si="10"/>
        <v>100</v>
      </c>
      <c r="T36" s="1574" t="s">
        <v>8</v>
      </c>
      <c r="U36" s="1575">
        <f t="shared" si="11"/>
        <v>100</v>
      </c>
      <c r="V36" s="1574" t="s">
        <v>8</v>
      </c>
      <c r="W36" s="1575">
        <f t="shared" si="12"/>
        <v>100</v>
      </c>
      <c r="X36" s="1568"/>
      <c r="Y36" s="369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690"/>
      <c r="Q37" s="1573">
        <f t="shared" si="8"/>
        <v>111</v>
      </c>
      <c r="R37" s="1574" t="s">
        <v>8</v>
      </c>
      <c r="S37" s="1575">
        <f t="shared" si="10"/>
        <v>100</v>
      </c>
      <c r="T37" s="1574" t="s">
        <v>8</v>
      </c>
      <c r="U37" s="1575">
        <f t="shared" si="11"/>
        <v>100</v>
      </c>
      <c r="V37" s="1574" t="s">
        <v>8</v>
      </c>
      <c r="W37" s="1575">
        <f t="shared" si="12"/>
        <v>100</v>
      </c>
      <c r="X37" s="1568"/>
      <c r="Y37" s="369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691" t="s">
        <v>551</v>
      </c>
      <c r="Q38" s="1573">
        <f t="shared" si="8"/>
        <v>111</v>
      </c>
      <c r="R38" s="1574" t="s">
        <v>8</v>
      </c>
      <c r="S38" s="1575">
        <f t="shared" si="10"/>
        <v>100</v>
      </c>
      <c r="T38" s="1574" t="s">
        <v>8</v>
      </c>
      <c r="U38" s="1575">
        <f t="shared" si="11"/>
        <v>100</v>
      </c>
      <c r="V38" s="1574" t="s">
        <v>8</v>
      </c>
      <c r="W38" s="1575">
        <f t="shared" si="12"/>
        <v>100</v>
      </c>
      <c r="X38" s="1568"/>
      <c r="Y38" s="3692"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692"/>
      <c r="Q39" s="1573">
        <f t="shared" si="8"/>
        <v>111</v>
      </c>
      <c r="R39" s="1578" t="s">
        <v>8</v>
      </c>
      <c r="S39" s="1579">
        <f t="shared" si="10"/>
        <v>100</v>
      </c>
      <c r="T39" s="1578" t="s">
        <v>8</v>
      </c>
      <c r="U39" s="1579">
        <f t="shared" si="11"/>
        <v>100</v>
      </c>
      <c r="V39" s="1578" t="s">
        <v>8</v>
      </c>
      <c r="W39" s="1579">
        <f t="shared" si="12"/>
        <v>100</v>
      </c>
      <c r="X39" s="1580"/>
      <c r="Y39" s="3692"/>
      <c r="Z39" s="1581">
        <f t="shared" si="13"/>
        <v>111</v>
      </c>
      <c r="AA39" s="1577">
        <f t="shared" si="3"/>
        <v>1</v>
      </c>
      <c r="AB39" s="1577">
        <f t="shared" si="4"/>
        <v>1</v>
      </c>
      <c r="AC39" s="1577">
        <f t="shared" si="5"/>
        <v>1</v>
      </c>
    </row>
    <row r="40" spans="1:29" ht="20.25">
      <c r="A40" s="2934" t="s">
        <v>2762</v>
      </c>
      <c r="B40" s="595" t="s">
        <v>553</v>
      </c>
      <c r="C40" s="596">
        <f>'数据-汇总表'!D3</f>
        <v>72735</v>
      </c>
      <c r="D40" s="597">
        <v>100</v>
      </c>
      <c r="E40" s="596">
        <f>土地案例!D2</f>
        <v>60173</v>
      </c>
      <c r="F40" s="597">
        <f>LOOKUP(E40,119:119,120:120)-LOOKUP(C40,119:119,120:120)+100</f>
        <v>100</v>
      </c>
      <c r="G40" s="596">
        <f>土地案例!D3</f>
        <v>92012.3</v>
      </c>
      <c r="H40" s="597">
        <f>LOOKUP(G40,119:119,120:120)-LOOKUP(C40,119:119,120:120)+100</f>
        <v>102</v>
      </c>
      <c r="I40" s="598">
        <f>土地案例!D12</f>
        <v>52626.400000000001</v>
      </c>
      <c r="J40" s="597">
        <f>LOOKUP(I40,119:119,120:120)-LOOKUP(C40,119:119,120:120)+100</f>
        <v>98</v>
      </c>
      <c r="K40" s="581"/>
      <c r="L40" s="2144"/>
      <c r="M40" s="2134"/>
      <c r="N40" s="2134"/>
      <c r="O40" s="2143"/>
      <c r="P40" s="3692"/>
      <c r="Q40" s="1573" t="str">
        <f>B40</f>
        <v>宗地面积</v>
      </c>
      <c r="R40" s="1574" t="s">
        <v>8</v>
      </c>
      <c r="S40" s="1575">
        <f t="shared" si="10"/>
        <v>100</v>
      </c>
      <c r="T40" s="1574" t="s">
        <v>8</v>
      </c>
      <c r="U40" s="1575">
        <f t="shared" si="11"/>
        <v>102</v>
      </c>
      <c r="V40" s="1574" t="s">
        <v>8</v>
      </c>
      <c r="W40" s="1575">
        <f t="shared" si="12"/>
        <v>98</v>
      </c>
      <c r="X40" s="1568"/>
      <c r="Y40" s="3692"/>
      <c r="Z40" s="1576" t="str">
        <f t="shared" si="13"/>
        <v>宗地面积</v>
      </c>
      <c r="AA40" s="1577">
        <f t="shared" si="3"/>
        <v>1</v>
      </c>
      <c r="AB40" s="1577">
        <f t="shared" si="4"/>
        <v>0.98039215686274506</v>
      </c>
      <c r="AC40" s="1577">
        <f t="shared" si="5"/>
        <v>1.0204081632653061</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692"/>
      <c r="Q41" s="1573" t="str">
        <f t="shared" ref="Q41:Q47" si="14">B41</f>
        <v>宗地形状</v>
      </c>
      <c r="R41" s="1574" t="s">
        <v>8</v>
      </c>
      <c r="S41" s="1575">
        <f t="shared" si="10"/>
        <v>100</v>
      </c>
      <c r="T41" s="1574" t="s">
        <v>8</v>
      </c>
      <c r="U41" s="1575">
        <f t="shared" si="11"/>
        <v>100</v>
      </c>
      <c r="V41" s="1574" t="s">
        <v>8</v>
      </c>
      <c r="W41" s="1575">
        <f t="shared" si="12"/>
        <v>100</v>
      </c>
      <c r="X41" s="1568"/>
      <c r="Y41" s="3692"/>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692"/>
      <c r="Q42" s="1573" t="str">
        <f t="shared" si="14"/>
        <v>临街宽度及深度</v>
      </c>
      <c r="R42" s="1574" t="s">
        <v>8</v>
      </c>
      <c r="S42" s="1575">
        <f t="shared" si="10"/>
        <v>100</v>
      </c>
      <c r="T42" s="1574" t="s">
        <v>8</v>
      </c>
      <c r="U42" s="1575">
        <f t="shared" si="11"/>
        <v>100</v>
      </c>
      <c r="V42" s="1574" t="s">
        <v>8</v>
      </c>
      <c r="W42" s="1575">
        <f t="shared" si="12"/>
        <v>100</v>
      </c>
      <c r="X42" s="1568"/>
      <c r="Y42" s="3692"/>
      <c r="Z42" s="1576" t="str">
        <f t="shared" si="13"/>
        <v>临街宽度及深度</v>
      </c>
      <c r="AA42" s="1577">
        <f t="shared" si="3"/>
        <v>1</v>
      </c>
      <c r="AB42" s="1577">
        <f t="shared" si="4"/>
        <v>1</v>
      </c>
      <c r="AC42" s="1577">
        <f t="shared" si="5"/>
        <v>1</v>
      </c>
    </row>
    <row r="43" spans="1:29" s="1220" customFormat="1" ht="20.25">
      <c r="A43" s="600"/>
      <c r="B43" s="1897" t="s">
        <v>2429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692"/>
      <c r="Q43" s="1573" t="str">
        <f t="shared" si="14"/>
        <v>宗地开发程度</v>
      </c>
      <c r="R43" s="1569" t="s">
        <v>8</v>
      </c>
      <c r="S43" s="1570">
        <f t="shared" si="10"/>
        <v>100</v>
      </c>
      <c r="T43" s="1569" t="s">
        <v>8</v>
      </c>
      <c r="U43" s="1570">
        <f t="shared" si="11"/>
        <v>100</v>
      </c>
      <c r="V43" s="1569" t="s">
        <v>8</v>
      </c>
      <c r="W43" s="1570">
        <f t="shared" si="12"/>
        <v>100</v>
      </c>
      <c r="X43" s="1571"/>
      <c r="Y43" s="3692"/>
      <c r="Z43" s="1150" t="str">
        <f t="shared" si="13"/>
        <v>宗地开发程度</v>
      </c>
      <c r="AA43" s="1572">
        <f t="shared" si="3"/>
        <v>1</v>
      </c>
      <c r="AB43" s="1572">
        <f t="shared" si="4"/>
        <v>1</v>
      </c>
      <c r="AC43" s="1572">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692" t="s">
        <v>551</v>
      </c>
      <c r="Q44" s="1573" t="str">
        <f t="shared" si="14"/>
        <v>工程地质条件</v>
      </c>
      <c r="R44" s="1574" t="s">
        <v>8</v>
      </c>
      <c r="S44" s="1575">
        <f t="shared" si="10"/>
        <v>100</v>
      </c>
      <c r="T44" s="1574" t="s">
        <v>8</v>
      </c>
      <c r="U44" s="1575">
        <f t="shared" si="11"/>
        <v>100</v>
      </c>
      <c r="V44" s="1574" t="s">
        <v>8</v>
      </c>
      <c r="W44" s="1575">
        <f t="shared" si="12"/>
        <v>100</v>
      </c>
      <c r="X44" s="1568"/>
      <c r="Y44" s="3692"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692"/>
      <c r="Q45" s="1573">
        <f t="shared" si="14"/>
        <v>111</v>
      </c>
      <c r="R45" s="1574" t="s">
        <v>8</v>
      </c>
      <c r="S45" s="1575">
        <f t="shared" si="10"/>
        <v>100</v>
      </c>
      <c r="T45" s="1574" t="s">
        <v>8</v>
      </c>
      <c r="U45" s="1575">
        <f t="shared" si="11"/>
        <v>100</v>
      </c>
      <c r="V45" s="1574" t="s">
        <v>8</v>
      </c>
      <c r="W45" s="1575">
        <f t="shared" si="12"/>
        <v>100</v>
      </c>
      <c r="X45" s="1568"/>
      <c r="Y45" s="369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692"/>
      <c r="Q46" s="1573">
        <f t="shared" si="14"/>
        <v>111</v>
      </c>
      <c r="R46" s="1574" t="s">
        <v>8</v>
      </c>
      <c r="S46" s="1575">
        <f t="shared" si="10"/>
        <v>100</v>
      </c>
      <c r="T46" s="1574" t="s">
        <v>8</v>
      </c>
      <c r="U46" s="1575">
        <f t="shared" si="11"/>
        <v>100</v>
      </c>
      <c r="V46" s="1574" t="s">
        <v>8</v>
      </c>
      <c r="W46" s="1575">
        <f t="shared" si="12"/>
        <v>100</v>
      </c>
      <c r="X46" s="1568"/>
      <c r="Y46" s="369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692"/>
      <c r="Q47" s="1573">
        <f t="shared" si="14"/>
        <v>111</v>
      </c>
      <c r="R47" s="1578" t="s">
        <v>8</v>
      </c>
      <c r="S47" s="1579">
        <f t="shared" si="10"/>
        <v>100</v>
      </c>
      <c r="T47" s="1578" t="s">
        <v>8</v>
      </c>
      <c r="U47" s="1579">
        <f t="shared" si="11"/>
        <v>100</v>
      </c>
      <c r="V47" s="1578" t="s">
        <v>8</v>
      </c>
      <c r="W47" s="1579">
        <f t="shared" si="12"/>
        <v>100</v>
      </c>
      <c r="X47" s="1580"/>
      <c r="Y47" s="3692"/>
      <c r="Z47" s="1581">
        <f t="shared" si="13"/>
        <v>111</v>
      </c>
      <c r="AA47" s="1577">
        <f t="shared" si="3"/>
        <v>1</v>
      </c>
      <c r="AB47" s="1577">
        <f t="shared" si="4"/>
        <v>1</v>
      </c>
      <c r="AC47" s="1577">
        <f t="shared" si="5"/>
        <v>1</v>
      </c>
    </row>
    <row r="48" spans="1:29" ht="20.25">
      <c r="A48" s="607" t="s">
        <v>557</v>
      </c>
      <c r="B48" s="608" t="s">
        <v>3336</v>
      </c>
      <c r="C48" s="609" t="s">
        <v>1</v>
      </c>
      <c r="D48" s="610"/>
      <c r="E48" s="611">
        <f>土地案例!L2</f>
        <v>21041.61</v>
      </c>
      <c r="F48" s="612"/>
      <c r="G48" s="613">
        <f>土地案例!L3</f>
        <v>23000.02</v>
      </c>
      <c r="H48" s="614"/>
      <c r="I48" s="611">
        <f>土地案例!L12</f>
        <v>23158.41</v>
      </c>
      <c r="J48" s="614"/>
      <c r="K48" s="1340"/>
      <c r="L48" s="2146"/>
      <c r="M48" s="2134"/>
      <c r="N48" s="2134"/>
      <c r="O48" s="2147"/>
      <c r="P48" s="3655" t="str">
        <f>A48</f>
        <v>成交单价</v>
      </c>
      <c r="Q48" s="3655"/>
      <c r="R48" s="3656">
        <f>E48</f>
        <v>21041.61</v>
      </c>
      <c r="S48" s="3656"/>
      <c r="T48" s="3656">
        <f>G48</f>
        <v>23000.02</v>
      </c>
      <c r="U48" s="3656"/>
      <c r="V48" s="3656">
        <f>I48</f>
        <v>23158.41</v>
      </c>
      <c r="W48" s="3656"/>
      <c r="X48" s="1560"/>
      <c r="Y48" s="1582"/>
      <c r="Z48" s="1560"/>
      <c r="AA48" s="1560"/>
      <c r="AB48" s="1560"/>
      <c r="AC48" s="1560"/>
    </row>
    <row r="49" spans="1:29" ht="21" thickBot="1">
      <c r="A49" s="615" t="s">
        <v>2700</v>
      </c>
      <c r="B49" s="616"/>
      <c r="C49" s="617">
        <f>R50</f>
        <v>17021</v>
      </c>
      <c r="D49" s="618"/>
      <c r="E49" s="617">
        <f>R49</f>
        <v>15875</v>
      </c>
      <c r="F49" s="619"/>
      <c r="G49" s="620">
        <f>T49</f>
        <v>17359</v>
      </c>
      <c r="H49" s="618"/>
      <c r="I49" s="617">
        <f>V49</f>
        <v>17828</v>
      </c>
      <c r="J49" s="618"/>
      <c r="K49" s="1341"/>
      <c r="L49" s="2146"/>
      <c r="M49" s="2134"/>
      <c r="N49" s="2134"/>
      <c r="O49" s="2147"/>
      <c r="P49" s="3655" t="str">
        <f>A49</f>
        <v>比较价格（元/平方米）</v>
      </c>
      <c r="Q49" s="3655"/>
      <c r="R49" s="3657">
        <f>ROUND(PRODUCT(R48,AA9:AA47),0)</f>
        <v>15875</v>
      </c>
      <c r="S49" s="3657"/>
      <c r="T49" s="3657">
        <f>ROUND(PRODUCT(T48,AB9:AB47),0)</f>
        <v>17359</v>
      </c>
      <c r="U49" s="3657"/>
      <c r="V49" s="3657">
        <f>ROUND(PRODUCT(V48,AC9:AC47),0)</f>
        <v>17828</v>
      </c>
      <c r="W49" s="3657"/>
      <c r="X49" s="1560"/>
      <c r="Y49" s="1560"/>
      <c r="Z49" s="1560"/>
      <c r="AA49" s="1560"/>
      <c r="AB49" s="1560"/>
      <c r="AC49" s="1560"/>
    </row>
    <row r="50" spans="1:29" ht="21" thickBot="1">
      <c r="A50" s="621" t="s">
        <v>2944</v>
      </c>
      <c r="B50" s="622"/>
      <c r="C50" s="623">
        <f>R50</f>
        <v>17021</v>
      </c>
      <c r="D50" s="623"/>
      <c r="E50" s="623"/>
      <c r="F50" s="623"/>
      <c r="G50" s="623"/>
      <c r="H50" s="623"/>
      <c r="I50" s="623"/>
      <c r="J50" s="623"/>
      <c r="K50" s="1342"/>
      <c r="L50" s="2146"/>
      <c r="M50" s="2134"/>
      <c r="N50" s="2134"/>
      <c r="O50" s="2147"/>
      <c r="P50" s="3652" t="str">
        <f>A50</f>
        <v>估价对象XX用房的比较价格（楼面单价，元/平方米）</v>
      </c>
      <c r="Q50" s="3653"/>
      <c r="R50" s="3654">
        <f>ROUND(AVERAGE(R49:V49),0)</f>
        <v>17021</v>
      </c>
      <c r="S50" s="3654"/>
      <c r="T50" s="3654"/>
      <c r="U50" s="3654"/>
      <c r="V50" s="3654"/>
      <c r="W50" s="3654"/>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0.32545574803149613</v>
      </c>
      <c r="F53" s="627" t="str">
        <f>IF(OR(E53&gt;=0.3,E53&lt;=-0.3),"超过30%","")</f>
        <v>超过30%</v>
      </c>
      <c r="G53" s="626">
        <f>IF(G48&lt;G49,G49/G48-1,G48/G49-1)</f>
        <v>0.32496226741171719</v>
      </c>
      <c r="H53" s="627" t="str">
        <f>IF(OR(G53&gt;=0.3,G53&lt;=-0.3),"超过30%","")</f>
        <v>超过30%</v>
      </c>
      <c r="I53" s="626">
        <f>IF(I48&lt;I49,I49/I48-1,I48/I49-1)</f>
        <v>0.29899091317029391</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9.3480314960630029E-2</v>
      </c>
      <c r="F54" s="627" t="str">
        <f>IF(OR(E54&gt;=0.2,E54&lt;=-0.2),"超过20%","")</f>
        <v/>
      </c>
      <c r="G54" s="626">
        <f>IF(G49&lt;I49,I49/G49-1,G49/I49-1)</f>
        <v>2.7017685350538612E-2</v>
      </c>
      <c r="H54" s="627" t="str">
        <f>IF(OR(G54&gt;=0.2,G54&lt;=-0.2),"超过20%","")</f>
        <v/>
      </c>
      <c r="I54" s="626">
        <f>IF(I49&lt;E49,E49/I49-1,I49/E49-1)</f>
        <v>0.12302362204724404</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9.3073201147630735E-2</v>
      </c>
      <c r="F55" s="627" t="str">
        <f>IF(OR(E55&gt;=0.3,E55&lt;=-0.3),"超过30%","")</f>
        <v/>
      </c>
      <c r="G55" s="626">
        <f>IF(G48&lt;I48,I48/G48-1,G48/I48-1)</f>
        <v>6.8865157508557484E-3</v>
      </c>
      <c r="H55" s="627" t="str">
        <f>IF(OR(G55&gt;=0.3,G55&lt;=-0.3),"超过30%","")</f>
        <v/>
      </c>
      <c r="I55" s="626">
        <f>IF(I48&lt;E48,E48/I48-1,I48/E48-1)</f>
        <v>0.10060066696417236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2297</v>
      </c>
      <c r="E57" s="631" t="s">
        <v>563</v>
      </c>
      <c r="F57" s="632" t="s">
        <v>564</v>
      </c>
      <c r="G57" s="3681" t="s">
        <v>2285</v>
      </c>
      <c r="H57" s="3682"/>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17021</v>
      </c>
      <c r="C58" s="635">
        <v>1</v>
      </c>
      <c r="D58" s="2230">
        <v>1</v>
      </c>
      <c r="E58" s="635">
        <f>'数据-汇总表'!E8+'数据-汇总表'!E9</f>
        <v>87282</v>
      </c>
      <c r="F58" s="636">
        <f t="shared" ref="F58:F67" si="15">ROUND(B58*E58/10000,0)</f>
        <v>148563</v>
      </c>
      <c r="G58" s="3683"/>
      <c r="H58" s="368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685"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68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68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68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87282</v>
      </c>
      <c r="F68" s="644">
        <f>IF(B48="楼面地价",SUM(F58:F67),ROUND(C50*E68/10000,0))</f>
        <v>148563</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2654</v>
      </c>
      <c r="B73" s="479" t="str">
        <f>"北京市平均增长率"&amp;TEXT(SUMIF(基准地价!N21:N25,A73,基准地价!P21:P25),"0.00%")</f>
        <v>北京市平均增长率2.30%</v>
      </c>
      <c r="C73" s="894">
        <v>100</v>
      </c>
      <c r="D73" s="730">
        <f>C73</f>
        <v>100</v>
      </c>
      <c r="E73" s="730">
        <f t="shared" ref="E73:N73" si="20">D73</f>
        <v>100</v>
      </c>
      <c r="F73" s="730">
        <f t="shared" si="20"/>
        <v>100</v>
      </c>
      <c r="G73" s="730">
        <f t="shared" si="20"/>
        <v>100</v>
      </c>
      <c r="H73" s="730">
        <f t="shared" si="20"/>
        <v>100</v>
      </c>
      <c r="I73" s="730">
        <f t="shared" si="20"/>
        <v>100</v>
      </c>
      <c r="J73" s="730">
        <f t="shared" si="20"/>
        <v>100</v>
      </c>
      <c r="K73" s="730">
        <f t="shared" si="20"/>
        <v>100</v>
      </c>
      <c r="L73" s="730">
        <f t="shared" si="20"/>
        <v>100</v>
      </c>
      <c r="M73" s="730">
        <f t="shared" si="20"/>
        <v>100</v>
      </c>
      <c r="N73" s="730">
        <f t="shared" si="20"/>
        <v>100</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2653</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2557</v>
      </c>
      <c r="C104" s="2624" t="s">
        <v>2558</v>
      </c>
      <c r="D104" s="2624" t="s">
        <v>2559</v>
      </c>
      <c r="E104" s="2624" t="s">
        <v>2560</v>
      </c>
      <c r="F104" s="2624" t="s">
        <v>2561</v>
      </c>
      <c r="G104" s="2624"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120" t="str">
        <f t="shared" si="26"/>
        <v>(含)-</v>
      </c>
      <c r="K118" s="3120" t="str">
        <f t="shared" si="26"/>
        <v>(含)-</v>
      </c>
      <c r="L118" s="3121" t="str">
        <f t="shared" si="26"/>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v>106</v>
      </c>
      <c r="G120" s="726">
        <v>108</v>
      </c>
      <c r="H120" s="726">
        <v>110</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zoomScaleNormal="100" workbookViewId="0">
      <selection activeCell="H11" sqref="H11"/>
    </sheetView>
  </sheetViews>
  <sheetFormatPr defaultRowHeight="11.25"/>
  <cols>
    <col min="1" max="1" width="37.375" style="3480" customWidth="1"/>
    <col min="2" max="2" width="6.25" style="3480" customWidth="1"/>
    <col min="3" max="5" width="13.875" style="3480" customWidth="1"/>
    <col min="6" max="6" width="11" style="3480" customWidth="1"/>
    <col min="7" max="7" width="7.875" style="3480" customWidth="1"/>
    <col min="8" max="8" width="9" style="3480" customWidth="1"/>
    <col min="9" max="11" width="10.625" style="3480" customWidth="1"/>
    <col min="12" max="12" width="11.25" style="3480" customWidth="1"/>
    <col min="13" max="13" width="6.25" style="3480" customWidth="1"/>
    <col min="14" max="14" width="62.5" style="3480" customWidth="1"/>
    <col min="15" max="257" width="9" style="3480"/>
    <col min="258" max="258" width="56.625" style="3480" customWidth="1"/>
    <col min="259" max="259" width="6.25" style="3480" customWidth="1"/>
    <col min="260" max="262" width="13.875" style="3480" customWidth="1"/>
    <col min="263" max="263" width="20.875" style="3480" customWidth="1"/>
    <col min="264" max="264" width="7.875" style="3480" customWidth="1"/>
    <col min="265" max="265" width="9" style="3480" customWidth="1"/>
    <col min="266" max="267" width="10.625" style="3480" customWidth="1"/>
    <col min="268" max="268" width="14.375" style="3480" customWidth="1"/>
    <col min="269" max="269" width="6.25" style="3480" customWidth="1"/>
    <col min="270" max="270" width="62.5" style="3480" customWidth="1"/>
    <col min="271" max="513" width="9" style="3480"/>
    <col min="514" max="514" width="56.625" style="3480" customWidth="1"/>
    <col min="515" max="515" width="6.25" style="3480" customWidth="1"/>
    <col min="516" max="518" width="13.875" style="3480" customWidth="1"/>
    <col min="519" max="519" width="20.875" style="3480" customWidth="1"/>
    <col min="520" max="520" width="7.875" style="3480" customWidth="1"/>
    <col min="521" max="521" width="9" style="3480" customWidth="1"/>
    <col min="522" max="523" width="10.625" style="3480" customWidth="1"/>
    <col min="524" max="524" width="14.375" style="3480" customWidth="1"/>
    <col min="525" max="525" width="6.25" style="3480" customWidth="1"/>
    <col min="526" max="526" width="62.5" style="3480" customWidth="1"/>
    <col min="527" max="769" width="9" style="3480"/>
    <col min="770" max="770" width="56.625" style="3480" customWidth="1"/>
    <col min="771" max="771" width="6.25" style="3480" customWidth="1"/>
    <col min="772" max="774" width="13.875" style="3480" customWidth="1"/>
    <col min="775" max="775" width="20.875" style="3480" customWidth="1"/>
    <col min="776" max="776" width="7.875" style="3480" customWidth="1"/>
    <col min="777" max="777" width="9" style="3480" customWidth="1"/>
    <col min="778" max="779" width="10.625" style="3480" customWidth="1"/>
    <col min="780" max="780" width="14.375" style="3480" customWidth="1"/>
    <col min="781" max="781" width="6.25" style="3480" customWidth="1"/>
    <col min="782" max="782" width="62.5" style="3480" customWidth="1"/>
    <col min="783" max="1025" width="9" style="3480"/>
    <col min="1026" max="1026" width="56.625" style="3480" customWidth="1"/>
    <col min="1027" max="1027" width="6.25" style="3480" customWidth="1"/>
    <col min="1028" max="1030" width="13.875" style="3480" customWidth="1"/>
    <col min="1031" max="1031" width="20.875" style="3480" customWidth="1"/>
    <col min="1032" max="1032" width="7.875" style="3480" customWidth="1"/>
    <col min="1033" max="1033" width="9" style="3480" customWidth="1"/>
    <col min="1034" max="1035" width="10.625" style="3480" customWidth="1"/>
    <col min="1036" max="1036" width="14.375" style="3480" customWidth="1"/>
    <col min="1037" max="1037" width="6.25" style="3480" customWidth="1"/>
    <col min="1038" max="1038" width="62.5" style="3480" customWidth="1"/>
    <col min="1039" max="1281" width="9" style="3480"/>
    <col min="1282" max="1282" width="56.625" style="3480" customWidth="1"/>
    <col min="1283" max="1283" width="6.25" style="3480" customWidth="1"/>
    <col min="1284" max="1286" width="13.875" style="3480" customWidth="1"/>
    <col min="1287" max="1287" width="20.875" style="3480" customWidth="1"/>
    <col min="1288" max="1288" width="7.875" style="3480" customWidth="1"/>
    <col min="1289" max="1289" width="9" style="3480" customWidth="1"/>
    <col min="1290" max="1291" width="10.625" style="3480" customWidth="1"/>
    <col min="1292" max="1292" width="14.375" style="3480" customWidth="1"/>
    <col min="1293" max="1293" width="6.25" style="3480" customWidth="1"/>
    <col min="1294" max="1294" width="62.5" style="3480" customWidth="1"/>
    <col min="1295" max="1537" width="9" style="3480"/>
    <col min="1538" max="1538" width="56.625" style="3480" customWidth="1"/>
    <col min="1539" max="1539" width="6.25" style="3480" customWidth="1"/>
    <col min="1540" max="1542" width="13.875" style="3480" customWidth="1"/>
    <col min="1543" max="1543" width="20.875" style="3480" customWidth="1"/>
    <col min="1544" max="1544" width="7.875" style="3480" customWidth="1"/>
    <col min="1545" max="1545" width="9" style="3480" customWidth="1"/>
    <col min="1546" max="1547" width="10.625" style="3480" customWidth="1"/>
    <col min="1548" max="1548" width="14.375" style="3480" customWidth="1"/>
    <col min="1549" max="1549" width="6.25" style="3480" customWidth="1"/>
    <col min="1550" max="1550" width="62.5" style="3480" customWidth="1"/>
    <col min="1551" max="1793" width="9" style="3480"/>
    <col min="1794" max="1794" width="56.625" style="3480" customWidth="1"/>
    <col min="1795" max="1795" width="6.25" style="3480" customWidth="1"/>
    <col min="1796" max="1798" width="13.875" style="3480" customWidth="1"/>
    <col min="1799" max="1799" width="20.875" style="3480" customWidth="1"/>
    <col min="1800" max="1800" width="7.875" style="3480" customWidth="1"/>
    <col min="1801" max="1801" width="9" style="3480" customWidth="1"/>
    <col min="1802" max="1803" width="10.625" style="3480" customWidth="1"/>
    <col min="1804" max="1804" width="14.375" style="3480" customWidth="1"/>
    <col min="1805" max="1805" width="6.25" style="3480" customWidth="1"/>
    <col min="1806" max="1806" width="62.5" style="3480" customWidth="1"/>
    <col min="1807" max="2049" width="9" style="3480"/>
    <col min="2050" max="2050" width="56.625" style="3480" customWidth="1"/>
    <col min="2051" max="2051" width="6.25" style="3480" customWidth="1"/>
    <col min="2052" max="2054" width="13.875" style="3480" customWidth="1"/>
    <col min="2055" max="2055" width="20.875" style="3480" customWidth="1"/>
    <col min="2056" max="2056" width="7.875" style="3480" customWidth="1"/>
    <col min="2057" max="2057" width="9" style="3480" customWidth="1"/>
    <col min="2058" max="2059" width="10.625" style="3480" customWidth="1"/>
    <col min="2060" max="2060" width="14.375" style="3480" customWidth="1"/>
    <col min="2061" max="2061" width="6.25" style="3480" customWidth="1"/>
    <col min="2062" max="2062" width="62.5" style="3480" customWidth="1"/>
    <col min="2063" max="2305" width="9" style="3480"/>
    <col min="2306" max="2306" width="56.625" style="3480" customWidth="1"/>
    <col min="2307" max="2307" width="6.25" style="3480" customWidth="1"/>
    <col min="2308" max="2310" width="13.875" style="3480" customWidth="1"/>
    <col min="2311" max="2311" width="20.875" style="3480" customWidth="1"/>
    <col min="2312" max="2312" width="7.875" style="3480" customWidth="1"/>
    <col min="2313" max="2313" width="9" style="3480" customWidth="1"/>
    <col min="2314" max="2315" width="10.625" style="3480" customWidth="1"/>
    <col min="2316" max="2316" width="14.375" style="3480" customWidth="1"/>
    <col min="2317" max="2317" width="6.25" style="3480" customWidth="1"/>
    <col min="2318" max="2318" width="62.5" style="3480" customWidth="1"/>
    <col min="2319" max="2561" width="9" style="3480"/>
    <col min="2562" max="2562" width="56.625" style="3480" customWidth="1"/>
    <col min="2563" max="2563" width="6.25" style="3480" customWidth="1"/>
    <col min="2564" max="2566" width="13.875" style="3480" customWidth="1"/>
    <col min="2567" max="2567" width="20.875" style="3480" customWidth="1"/>
    <col min="2568" max="2568" width="7.875" style="3480" customWidth="1"/>
    <col min="2569" max="2569" width="9" style="3480" customWidth="1"/>
    <col min="2570" max="2571" width="10.625" style="3480" customWidth="1"/>
    <col min="2572" max="2572" width="14.375" style="3480" customWidth="1"/>
    <col min="2573" max="2573" width="6.25" style="3480" customWidth="1"/>
    <col min="2574" max="2574" width="62.5" style="3480" customWidth="1"/>
    <col min="2575" max="2817" width="9" style="3480"/>
    <col min="2818" max="2818" width="56.625" style="3480" customWidth="1"/>
    <col min="2819" max="2819" width="6.25" style="3480" customWidth="1"/>
    <col min="2820" max="2822" width="13.875" style="3480" customWidth="1"/>
    <col min="2823" max="2823" width="20.875" style="3480" customWidth="1"/>
    <col min="2824" max="2824" width="7.875" style="3480" customWidth="1"/>
    <col min="2825" max="2825" width="9" style="3480" customWidth="1"/>
    <col min="2826" max="2827" width="10.625" style="3480" customWidth="1"/>
    <col min="2828" max="2828" width="14.375" style="3480" customWidth="1"/>
    <col min="2829" max="2829" width="6.25" style="3480" customWidth="1"/>
    <col min="2830" max="2830" width="62.5" style="3480" customWidth="1"/>
    <col min="2831" max="3073" width="9" style="3480"/>
    <col min="3074" max="3074" width="56.625" style="3480" customWidth="1"/>
    <col min="3075" max="3075" width="6.25" style="3480" customWidth="1"/>
    <col min="3076" max="3078" width="13.875" style="3480" customWidth="1"/>
    <col min="3079" max="3079" width="20.875" style="3480" customWidth="1"/>
    <col min="3080" max="3080" width="7.875" style="3480" customWidth="1"/>
    <col min="3081" max="3081" width="9" style="3480" customWidth="1"/>
    <col min="3082" max="3083" width="10.625" style="3480" customWidth="1"/>
    <col min="3084" max="3084" width="14.375" style="3480" customWidth="1"/>
    <col min="3085" max="3085" width="6.25" style="3480" customWidth="1"/>
    <col min="3086" max="3086" width="62.5" style="3480" customWidth="1"/>
    <col min="3087" max="3329" width="9" style="3480"/>
    <col min="3330" max="3330" width="56.625" style="3480" customWidth="1"/>
    <col min="3331" max="3331" width="6.25" style="3480" customWidth="1"/>
    <col min="3332" max="3334" width="13.875" style="3480" customWidth="1"/>
    <col min="3335" max="3335" width="20.875" style="3480" customWidth="1"/>
    <col min="3336" max="3336" width="7.875" style="3480" customWidth="1"/>
    <col min="3337" max="3337" width="9" style="3480" customWidth="1"/>
    <col min="3338" max="3339" width="10.625" style="3480" customWidth="1"/>
    <col min="3340" max="3340" width="14.375" style="3480" customWidth="1"/>
    <col min="3341" max="3341" width="6.25" style="3480" customWidth="1"/>
    <col min="3342" max="3342" width="62.5" style="3480" customWidth="1"/>
    <col min="3343" max="3585" width="9" style="3480"/>
    <col min="3586" max="3586" width="56.625" style="3480" customWidth="1"/>
    <col min="3587" max="3587" width="6.25" style="3480" customWidth="1"/>
    <col min="3588" max="3590" width="13.875" style="3480" customWidth="1"/>
    <col min="3591" max="3591" width="20.875" style="3480" customWidth="1"/>
    <col min="3592" max="3592" width="7.875" style="3480" customWidth="1"/>
    <col min="3593" max="3593" width="9" style="3480" customWidth="1"/>
    <col min="3594" max="3595" width="10.625" style="3480" customWidth="1"/>
    <col min="3596" max="3596" width="14.375" style="3480" customWidth="1"/>
    <col min="3597" max="3597" width="6.25" style="3480" customWidth="1"/>
    <col min="3598" max="3598" width="62.5" style="3480" customWidth="1"/>
    <col min="3599" max="3841" width="9" style="3480"/>
    <col min="3842" max="3842" width="56.625" style="3480" customWidth="1"/>
    <col min="3843" max="3843" width="6.25" style="3480" customWidth="1"/>
    <col min="3844" max="3846" width="13.875" style="3480" customWidth="1"/>
    <col min="3847" max="3847" width="20.875" style="3480" customWidth="1"/>
    <col min="3848" max="3848" width="7.875" style="3480" customWidth="1"/>
    <col min="3849" max="3849" width="9" style="3480" customWidth="1"/>
    <col min="3850" max="3851" width="10.625" style="3480" customWidth="1"/>
    <col min="3852" max="3852" width="14.375" style="3480" customWidth="1"/>
    <col min="3853" max="3853" width="6.25" style="3480" customWidth="1"/>
    <col min="3854" max="3854" width="62.5" style="3480" customWidth="1"/>
    <col min="3855" max="4097" width="9" style="3480"/>
    <col min="4098" max="4098" width="56.625" style="3480" customWidth="1"/>
    <col min="4099" max="4099" width="6.25" style="3480" customWidth="1"/>
    <col min="4100" max="4102" width="13.875" style="3480" customWidth="1"/>
    <col min="4103" max="4103" width="20.875" style="3480" customWidth="1"/>
    <col min="4104" max="4104" width="7.875" style="3480" customWidth="1"/>
    <col min="4105" max="4105" width="9" style="3480" customWidth="1"/>
    <col min="4106" max="4107" width="10.625" style="3480" customWidth="1"/>
    <col min="4108" max="4108" width="14.375" style="3480" customWidth="1"/>
    <col min="4109" max="4109" width="6.25" style="3480" customWidth="1"/>
    <col min="4110" max="4110" width="62.5" style="3480" customWidth="1"/>
    <col min="4111" max="4353" width="9" style="3480"/>
    <col min="4354" max="4354" width="56.625" style="3480" customWidth="1"/>
    <col min="4355" max="4355" width="6.25" style="3480" customWidth="1"/>
    <col min="4356" max="4358" width="13.875" style="3480" customWidth="1"/>
    <col min="4359" max="4359" width="20.875" style="3480" customWidth="1"/>
    <col min="4360" max="4360" width="7.875" style="3480" customWidth="1"/>
    <col min="4361" max="4361" width="9" style="3480" customWidth="1"/>
    <col min="4362" max="4363" width="10.625" style="3480" customWidth="1"/>
    <col min="4364" max="4364" width="14.375" style="3480" customWidth="1"/>
    <col min="4365" max="4365" width="6.25" style="3480" customWidth="1"/>
    <col min="4366" max="4366" width="62.5" style="3480" customWidth="1"/>
    <col min="4367" max="4609" width="9" style="3480"/>
    <col min="4610" max="4610" width="56.625" style="3480" customWidth="1"/>
    <col min="4611" max="4611" width="6.25" style="3480" customWidth="1"/>
    <col min="4612" max="4614" width="13.875" style="3480" customWidth="1"/>
    <col min="4615" max="4615" width="20.875" style="3480" customWidth="1"/>
    <col min="4616" max="4616" width="7.875" style="3480" customWidth="1"/>
    <col min="4617" max="4617" width="9" style="3480" customWidth="1"/>
    <col min="4618" max="4619" width="10.625" style="3480" customWidth="1"/>
    <col min="4620" max="4620" width="14.375" style="3480" customWidth="1"/>
    <col min="4621" max="4621" width="6.25" style="3480" customWidth="1"/>
    <col min="4622" max="4622" width="62.5" style="3480" customWidth="1"/>
    <col min="4623" max="4865" width="9" style="3480"/>
    <col min="4866" max="4866" width="56.625" style="3480" customWidth="1"/>
    <col min="4867" max="4867" width="6.25" style="3480" customWidth="1"/>
    <col min="4868" max="4870" width="13.875" style="3480" customWidth="1"/>
    <col min="4871" max="4871" width="20.875" style="3480" customWidth="1"/>
    <col min="4872" max="4872" width="7.875" style="3480" customWidth="1"/>
    <col min="4873" max="4873" width="9" style="3480" customWidth="1"/>
    <col min="4874" max="4875" width="10.625" style="3480" customWidth="1"/>
    <col min="4876" max="4876" width="14.375" style="3480" customWidth="1"/>
    <col min="4877" max="4877" width="6.25" style="3480" customWidth="1"/>
    <col min="4878" max="4878" width="62.5" style="3480" customWidth="1"/>
    <col min="4879" max="5121" width="9" style="3480"/>
    <col min="5122" max="5122" width="56.625" style="3480" customWidth="1"/>
    <col min="5123" max="5123" width="6.25" style="3480" customWidth="1"/>
    <col min="5124" max="5126" width="13.875" style="3480" customWidth="1"/>
    <col min="5127" max="5127" width="20.875" style="3480" customWidth="1"/>
    <col min="5128" max="5128" width="7.875" style="3480" customWidth="1"/>
    <col min="5129" max="5129" width="9" style="3480" customWidth="1"/>
    <col min="5130" max="5131" width="10.625" style="3480" customWidth="1"/>
    <col min="5132" max="5132" width="14.375" style="3480" customWidth="1"/>
    <col min="5133" max="5133" width="6.25" style="3480" customWidth="1"/>
    <col min="5134" max="5134" width="62.5" style="3480" customWidth="1"/>
    <col min="5135" max="5377" width="9" style="3480"/>
    <col min="5378" max="5378" width="56.625" style="3480" customWidth="1"/>
    <col min="5379" max="5379" width="6.25" style="3480" customWidth="1"/>
    <col min="5380" max="5382" width="13.875" style="3480" customWidth="1"/>
    <col min="5383" max="5383" width="20.875" style="3480" customWidth="1"/>
    <col min="5384" max="5384" width="7.875" style="3480" customWidth="1"/>
    <col min="5385" max="5385" width="9" style="3480" customWidth="1"/>
    <col min="5386" max="5387" width="10.625" style="3480" customWidth="1"/>
    <col min="5388" max="5388" width="14.375" style="3480" customWidth="1"/>
    <col min="5389" max="5389" width="6.25" style="3480" customWidth="1"/>
    <col min="5390" max="5390" width="62.5" style="3480" customWidth="1"/>
    <col min="5391" max="5633" width="9" style="3480"/>
    <col min="5634" max="5634" width="56.625" style="3480" customWidth="1"/>
    <col min="5635" max="5635" width="6.25" style="3480" customWidth="1"/>
    <col min="5636" max="5638" width="13.875" style="3480" customWidth="1"/>
    <col min="5639" max="5639" width="20.875" style="3480" customWidth="1"/>
    <col min="5640" max="5640" width="7.875" style="3480" customWidth="1"/>
    <col min="5641" max="5641" width="9" style="3480" customWidth="1"/>
    <col min="5642" max="5643" width="10.625" style="3480" customWidth="1"/>
    <col min="5644" max="5644" width="14.375" style="3480" customWidth="1"/>
    <col min="5645" max="5645" width="6.25" style="3480" customWidth="1"/>
    <col min="5646" max="5646" width="62.5" style="3480" customWidth="1"/>
    <col min="5647" max="5889" width="9" style="3480"/>
    <col min="5890" max="5890" width="56.625" style="3480" customWidth="1"/>
    <col min="5891" max="5891" width="6.25" style="3480" customWidth="1"/>
    <col min="5892" max="5894" width="13.875" style="3480" customWidth="1"/>
    <col min="5895" max="5895" width="20.875" style="3480" customWidth="1"/>
    <col min="5896" max="5896" width="7.875" style="3480" customWidth="1"/>
    <col min="5897" max="5897" width="9" style="3480" customWidth="1"/>
    <col min="5898" max="5899" width="10.625" style="3480" customWidth="1"/>
    <col min="5900" max="5900" width="14.375" style="3480" customWidth="1"/>
    <col min="5901" max="5901" width="6.25" style="3480" customWidth="1"/>
    <col min="5902" max="5902" width="62.5" style="3480" customWidth="1"/>
    <col min="5903" max="6145" width="9" style="3480"/>
    <col min="6146" max="6146" width="56.625" style="3480" customWidth="1"/>
    <col min="6147" max="6147" width="6.25" style="3480" customWidth="1"/>
    <col min="6148" max="6150" width="13.875" style="3480" customWidth="1"/>
    <col min="6151" max="6151" width="20.875" style="3480" customWidth="1"/>
    <col min="6152" max="6152" width="7.875" style="3480" customWidth="1"/>
    <col min="6153" max="6153" width="9" style="3480" customWidth="1"/>
    <col min="6154" max="6155" width="10.625" style="3480" customWidth="1"/>
    <col min="6156" max="6156" width="14.375" style="3480" customWidth="1"/>
    <col min="6157" max="6157" width="6.25" style="3480" customWidth="1"/>
    <col min="6158" max="6158" width="62.5" style="3480" customWidth="1"/>
    <col min="6159" max="6401" width="9" style="3480"/>
    <col min="6402" max="6402" width="56.625" style="3480" customWidth="1"/>
    <col min="6403" max="6403" width="6.25" style="3480" customWidth="1"/>
    <col min="6404" max="6406" width="13.875" style="3480" customWidth="1"/>
    <col min="6407" max="6407" width="20.875" style="3480" customWidth="1"/>
    <col min="6408" max="6408" width="7.875" style="3480" customWidth="1"/>
    <col min="6409" max="6409" width="9" style="3480" customWidth="1"/>
    <col min="6410" max="6411" width="10.625" style="3480" customWidth="1"/>
    <col min="6412" max="6412" width="14.375" style="3480" customWidth="1"/>
    <col min="6413" max="6413" width="6.25" style="3480" customWidth="1"/>
    <col min="6414" max="6414" width="62.5" style="3480" customWidth="1"/>
    <col min="6415" max="6657" width="9" style="3480"/>
    <col min="6658" max="6658" width="56.625" style="3480" customWidth="1"/>
    <col min="6659" max="6659" width="6.25" style="3480" customWidth="1"/>
    <col min="6660" max="6662" width="13.875" style="3480" customWidth="1"/>
    <col min="6663" max="6663" width="20.875" style="3480" customWidth="1"/>
    <col min="6664" max="6664" width="7.875" style="3480" customWidth="1"/>
    <col min="6665" max="6665" width="9" style="3480" customWidth="1"/>
    <col min="6666" max="6667" width="10.625" style="3480" customWidth="1"/>
    <col min="6668" max="6668" width="14.375" style="3480" customWidth="1"/>
    <col min="6669" max="6669" width="6.25" style="3480" customWidth="1"/>
    <col min="6670" max="6670" width="62.5" style="3480" customWidth="1"/>
    <col min="6671" max="6913" width="9" style="3480"/>
    <col min="6914" max="6914" width="56.625" style="3480" customWidth="1"/>
    <col min="6915" max="6915" width="6.25" style="3480" customWidth="1"/>
    <col min="6916" max="6918" width="13.875" style="3480" customWidth="1"/>
    <col min="6919" max="6919" width="20.875" style="3480" customWidth="1"/>
    <col min="6920" max="6920" width="7.875" style="3480" customWidth="1"/>
    <col min="6921" max="6921" width="9" style="3480" customWidth="1"/>
    <col min="6922" max="6923" width="10.625" style="3480" customWidth="1"/>
    <col min="6924" max="6924" width="14.375" style="3480" customWidth="1"/>
    <col min="6925" max="6925" width="6.25" style="3480" customWidth="1"/>
    <col min="6926" max="6926" width="62.5" style="3480" customWidth="1"/>
    <col min="6927" max="7169" width="9" style="3480"/>
    <col min="7170" max="7170" width="56.625" style="3480" customWidth="1"/>
    <col min="7171" max="7171" width="6.25" style="3480" customWidth="1"/>
    <col min="7172" max="7174" width="13.875" style="3480" customWidth="1"/>
    <col min="7175" max="7175" width="20.875" style="3480" customWidth="1"/>
    <col min="7176" max="7176" width="7.875" style="3480" customWidth="1"/>
    <col min="7177" max="7177" width="9" style="3480" customWidth="1"/>
    <col min="7178" max="7179" width="10.625" style="3480" customWidth="1"/>
    <col min="7180" max="7180" width="14.375" style="3480" customWidth="1"/>
    <col min="7181" max="7181" width="6.25" style="3480" customWidth="1"/>
    <col min="7182" max="7182" width="62.5" style="3480" customWidth="1"/>
    <col min="7183" max="7425" width="9" style="3480"/>
    <col min="7426" max="7426" width="56.625" style="3480" customWidth="1"/>
    <col min="7427" max="7427" width="6.25" style="3480" customWidth="1"/>
    <col min="7428" max="7430" width="13.875" style="3480" customWidth="1"/>
    <col min="7431" max="7431" width="20.875" style="3480" customWidth="1"/>
    <col min="7432" max="7432" width="7.875" style="3480" customWidth="1"/>
    <col min="7433" max="7433" width="9" style="3480" customWidth="1"/>
    <col min="7434" max="7435" width="10.625" style="3480" customWidth="1"/>
    <col min="7436" max="7436" width="14.375" style="3480" customWidth="1"/>
    <col min="7437" max="7437" width="6.25" style="3480" customWidth="1"/>
    <col min="7438" max="7438" width="62.5" style="3480" customWidth="1"/>
    <col min="7439" max="7681" width="9" style="3480"/>
    <col min="7682" max="7682" width="56.625" style="3480" customWidth="1"/>
    <col min="7683" max="7683" width="6.25" style="3480" customWidth="1"/>
    <col min="7684" max="7686" width="13.875" style="3480" customWidth="1"/>
    <col min="7687" max="7687" width="20.875" style="3480" customWidth="1"/>
    <col min="7688" max="7688" width="7.875" style="3480" customWidth="1"/>
    <col min="7689" max="7689" width="9" style="3480" customWidth="1"/>
    <col min="7690" max="7691" width="10.625" style="3480" customWidth="1"/>
    <col min="7692" max="7692" width="14.375" style="3480" customWidth="1"/>
    <col min="7693" max="7693" width="6.25" style="3480" customWidth="1"/>
    <col min="7694" max="7694" width="62.5" style="3480" customWidth="1"/>
    <col min="7695" max="7937" width="9" style="3480"/>
    <col min="7938" max="7938" width="56.625" style="3480" customWidth="1"/>
    <col min="7939" max="7939" width="6.25" style="3480" customWidth="1"/>
    <col min="7940" max="7942" width="13.875" style="3480" customWidth="1"/>
    <col min="7943" max="7943" width="20.875" style="3480" customWidth="1"/>
    <col min="7944" max="7944" width="7.875" style="3480" customWidth="1"/>
    <col min="7945" max="7945" width="9" style="3480" customWidth="1"/>
    <col min="7946" max="7947" width="10.625" style="3480" customWidth="1"/>
    <col min="7948" max="7948" width="14.375" style="3480" customWidth="1"/>
    <col min="7949" max="7949" width="6.25" style="3480" customWidth="1"/>
    <col min="7950" max="7950" width="62.5" style="3480" customWidth="1"/>
    <col min="7951" max="8193" width="9" style="3480"/>
    <col min="8194" max="8194" width="56.625" style="3480" customWidth="1"/>
    <col min="8195" max="8195" width="6.25" style="3480" customWidth="1"/>
    <col min="8196" max="8198" width="13.875" style="3480" customWidth="1"/>
    <col min="8199" max="8199" width="20.875" style="3480" customWidth="1"/>
    <col min="8200" max="8200" width="7.875" style="3480" customWidth="1"/>
    <col min="8201" max="8201" width="9" style="3480" customWidth="1"/>
    <col min="8202" max="8203" width="10.625" style="3480" customWidth="1"/>
    <col min="8204" max="8204" width="14.375" style="3480" customWidth="1"/>
    <col min="8205" max="8205" width="6.25" style="3480" customWidth="1"/>
    <col min="8206" max="8206" width="62.5" style="3480" customWidth="1"/>
    <col min="8207" max="8449" width="9" style="3480"/>
    <col min="8450" max="8450" width="56.625" style="3480" customWidth="1"/>
    <col min="8451" max="8451" width="6.25" style="3480" customWidth="1"/>
    <col min="8452" max="8454" width="13.875" style="3480" customWidth="1"/>
    <col min="8455" max="8455" width="20.875" style="3480" customWidth="1"/>
    <col min="8456" max="8456" width="7.875" style="3480" customWidth="1"/>
    <col min="8457" max="8457" width="9" style="3480" customWidth="1"/>
    <col min="8458" max="8459" width="10.625" style="3480" customWidth="1"/>
    <col min="8460" max="8460" width="14.375" style="3480" customWidth="1"/>
    <col min="8461" max="8461" width="6.25" style="3480" customWidth="1"/>
    <col min="8462" max="8462" width="62.5" style="3480" customWidth="1"/>
    <col min="8463" max="8705" width="9" style="3480"/>
    <col min="8706" max="8706" width="56.625" style="3480" customWidth="1"/>
    <col min="8707" max="8707" width="6.25" style="3480" customWidth="1"/>
    <col min="8708" max="8710" width="13.875" style="3480" customWidth="1"/>
    <col min="8711" max="8711" width="20.875" style="3480" customWidth="1"/>
    <col min="8712" max="8712" width="7.875" style="3480" customWidth="1"/>
    <col min="8713" max="8713" width="9" style="3480" customWidth="1"/>
    <col min="8714" max="8715" width="10.625" style="3480" customWidth="1"/>
    <col min="8716" max="8716" width="14.375" style="3480" customWidth="1"/>
    <col min="8717" max="8717" width="6.25" style="3480" customWidth="1"/>
    <col min="8718" max="8718" width="62.5" style="3480" customWidth="1"/>
    <col min="8719" max="8961" width="9" style="3480"/>
    <col min="8962" max="8962" width="56.625" style="3480" customWidth="1"/>
    <col min="8963" max="8963" width="6.25" style="3480" customWidth="1"/>
    <col min="8964" max="8966" width="13.875" style="3480" customWidth="1"/>
    <col min="8967" max="8967" width="20.875" style="3480" customWidth="1"/>
    <col min="8968" max="8968" width="7.875" style="3480" customWidth="1"/>
    <col min="8969" max="8969" width="9" style="3480" customWidth="1"/>
    <col min="8970" max="8971" width="10.625" style="3480" customWidth="1"/>
    <col min="8972" max="8972" width="14.375" style="3480" customWidth="1"/>
    <col min="8973" max="8973" width="6.25" style="3480" customWidth="1"/>
    <col min="8974" max="8974" width="62.5" style="3480" customWidth="1"/>
    <col min="8975" max="9217" width="9" style="3480"/>
    <col min="9218" max="9218" width="56.625" style="3480" customWidth="1"/>
    <col min="9219" max="9219" width="6.25" style="3480" customWidth="1"/>
    <col min="9220" max="9222" width="13.875" style="3480" customWidth="1"/>
    <col min="9223" max="9223" width="20.875" style="3480" customWidth="1"/>
    <col min="9224" max="9224" width="7.875" style="3480" customWidth="1"/>
    <col min="9225" max="9225" width="9" style="3480" customWidth="1"/>
    <col min="9226" max="9227" width="10.625" style="3480" customWidth="1"/>
    <col min="9228" max="9228" width="14.375" style="3480" customWidth="1"/>
    <col min="9229" max="9229" width="6.25" style="3480" customWidth="1"/>
    <col min="9230" max="9230" width="62.5" style="3480" customWidth="1"/>
    <col min="9231" max="9473" width="9" style="3480"/>
    <col min="9474" max="9474" width="56.625" style="3480" customWidth="1"/>
    <col min="9475" max="9475" width="6.25" style="3480" customWidth="1"/>
    <col min="9476" max="9478" width="13.875" style="3480" customWidth="1"/>
    <col min="9479" max="9479" width="20.875" style="3480" customWidth="1"/>
    <col min="9480" max="9480" width="7.875" style="3480" customWidth="1"/>
    <col min="9481" max="9481" width="9" style="3480" customWidth="1"/>
    <col min="9482" max="9483" width="10.625" style="3480" customWidth="1"/>
    <col min="9484" max="9484" width="14.375" style="3480" customWidth="1"/>
    <col min="9485" max="9485" width="6.25" style="3480" customWidth="1"/>
    <col min="9486" max="9486" width="62.5" style="3480" customWidth="1"/>
    <col min="9487" max="9729" width="9" style="3480"/>
    <col min="9730" max="9730" width="56.625" style="3480" customWidth="1"/>
    <col min="9731" max="9731" width="6.25" style="3480" customWidth="1"/>
    <col min="9732" max="9734" width="13.875" style="3480" customWidth="1"/>
    <col min="9735" max="9735" width="20.875" style="3480" customWidth="1"/>
    <col min="9736" max="9736" width="7.875" style="3480" customWidth="1"/>
    <col min="9737" max="9737" width="9" style="3480" customWidth="1"/>
    <col min="9738" max="9739" width="10.625" style="3480" customWidth="1"/>
    <col min="9740" max="9740" width="14.375" style="3480" customWidth="1"/>
    <col min="9741" max="9741" width="6.25" style="3480" customWidth="1"/>
    <col min="9742" max="9742" width="62.5" style="3480" customWidth="1"/>
    <col min="9743" max="9985" width="9" style="3480"/>
    <col min="9986" max="9986" width="56.625" style="3480" customWidth="1"/>
    <col min="9987" max="9987" width="6.25" style="3480" customWidth="1"/>
    <col min="9988" max="9990" width="13.875" style="3480" customWidth="1"/>
    <col min="9991" max="9991" width="20.875" style="3480" customWidth="1"/>
    <col min="9992" max="9992" width="7.875" style="3480" customWidth="1"/>
    <col min="9993" max="9993" width="9" style="3480" customWidth="1"/>
    <col min="9994" max="9995" width="10.625" style="3480" customWidth="1"/>
    <col min="9996" max="9996" width="14.375" style="3480" customWidth="1"/>
    <col min="9997" max="9997" width="6.25" style="3480" customWidth="1"/>
    <col min="9998" max="9998" width="62.5" style="3480" customWidth="1"/>
    <col min="9999" max="10241" width="9" style="3480"/>
    <col min="10242" max="10242" width="56.625" style="3480" customWidth="1"/>
    <col min="10243" max="10243" width="6.25" style="3480" customWidth="1"/>
    <col min="10244" max="10246" width="13.875" style="3480" customWidth="1"/>
    <col min="10247" max="10247" width="20.875" style="3480" customWidth="1"/>
    <col min="10248" max="10248" width="7.875" style="3480" customWidth="1"/>
    <col min="10249" max="10249" width="9" style="3480" customWidth="1"/>
    <col min="10250" max="10251" width="10.625" style="3480" customWidth="1"/>
    <col min="10252" max="10252" width="14.375" style="3480" customWidth="1"/>
    <col min="10253" max="10253" width="6.25" style="3480" customWidth="1"/>
    <col min="10254" max="10254" width="62.5" style="3480" customWidth="1"/>
    <col min="10255" max="10497" width="9" style="3480"/>
    <col min="10498" max="10498" width="56.625" style="3480" customWidth="1"/>
    <col min="10499" max="10499" width="6.25" style="3480" customWidth="1"/>
    <col min="10500" max="10502" width="13.875" style="3480" customWidth="1"/>
    <col min="10503" max="10503" width="20.875" style="3480" customWidth="1"/>
    <col min="10504" max="10504" width="7.875" style="3480" customWidth="1"/>
    <col min="10505" max="10505" width="9" style="3480" customWidth="1"/>
    <col min="10506" max="10507" width="10.625" style="3480" customWidth="1"/>
    <col min="10508" max="10508" width="14.375" style="3480" customWidth="1"/>
    <col min="10509" max="10509" width="6.25" style="3480" customWidth="1"/>
    <col min="10510" max="10510" width="62.5" style="3480" customWidth="1"/>
    <col min="10511" max="10753" width="9" style="3480"/>
    <col min="10754" max="10754" width="56.625" style="3480" customWidth="1"/>
    <col min="10755" max="10755" width="6.25" style="3480" customWidth="1"/>
    <col min="10756" max="10758" width="13.875" style="3480" customWidth="1"/>
    <col min="10759" max="10759" width="20.875" style="3480" customWidth="1"/>
    <col min="10760" max="10760" width="7.875" style="3480" customWidth="1"/>
    <col min="10761" max="10761" width="9" style="3480" customWidth="1"/>
    <col min="10762" max="10763" width="10.625" style="3480" customWidth="1"/>
    <col min="10764" max="10764" width="14.375" style="3480" customWidth="1"/>
    <col min="10765" max="10765" width="6.25" style="3480" customWidth="1"/>
    <col min="10766" max="10766" width="62.5" style="3480" customWidth="1"/>
    <col min="10767" max="11009" width="9" style="3480"/>
    <col min="11010" max="11010" width="56.625" style="3480" customWidth="1"/>
    <col min="11011" max="11011" width="6.25" style="3480" customWidth="1"/>
    <col min="11012" max="11014" width="13.875" style="3480" customWidth="1"/>
    <col min="11015" max="11015" width="20.875" style="3480" customWidth="1"/>
    <col min="11016" max="11016" width="7.875" style="3480" customWidth="1"/>
    <col min="11017" max="11017" width="9" style="3480" customWidth="1"/>
    <col min="11018" max="11019" width="10.625" style="3480" customWidth="1"/>
    <col min="11020" max="11020" width="14.375" style="3480" customWidth="1"/>
    <col min="11021" max="11021" width="6.25" style="3480" customWidth="1"/>
    <col min="11022" max="11022" width="62.5" style="3480" customWidth="1"/>
    <col min="11023" max="11265" width="9" style="3480"/>
    <col min="11266" max="11266" width="56.625" style="3480" customWidth="1"/>
    <col min="11267" max="11267" width="6.25" style="3480" customWidth="1"/>
    <col min="11268" max="11270" width="13.875" style="3480" customWidth="1"/>
    <col min="11271" max="11271" width="20.875" style="3480" customWidth="1"/>
    <col min="11272" max="11272" width="7.875" style="3480" customWidth="1"/>
    <col min="11273" max="11273" width="9" style="3480" customWidth="1"/>
    <col min="11274" max="11275" width="10.625" style="3480" customWidth="1"/>
    <col min="11276" max="11276" width="14.375" style="3480" customWidth="1"/>
    <col min="11277" max="11277" width="6.25" style="3480" customWidth="1"/>
    <col min="11278" max="11278" width="62.5" style="3480" customWidth="1"/>
    <col min="11279" max="11521" width="9" style="3480"/>
    <col min="11522" max="11522" width="56.625" style="3480" customWidth="1"/>
    <col min="11523" max="11523" width="6.25" style="3480" customWidth="1"/>
    <col min="11524" max="11526" width="13.875" style="3480" customWidth="1"/>
    <col min="11527" max="11527" width="20.875" style="3480" customWidth="1"/>
    <col min="11528" max="11528" width="7.875" style="3480" customWidth="1"/>
    <col min="11529" max="11529" width="9" style="3480" customWidth="1"/>
    <col min="11530" max="11531" width="10.625" style="3480" customWidth="1"/>
    <col min="11532" max="11532" width="14.375" style="3480" customWidth="1"/>
    <col min="11533" max="11533" width="6.25" style="3480" customWidth="1"/>
    <col min="11534" max="11534" width="62.5" style="3480" customWidth="1"/>
    <col min="11535" max="11777" width="9" style="3480"/>
    <col min="11778" max="11778" width="56.625" style="3480" customWidth="1"/>
    <col min="11779" max="11779" width="6.25" style="3480" customWidth="1"/>
    <col min="11780" max="11782" width="13.875" style="3480" customWidth="1"/>
    <col min="11783" max="11783" width="20.875" style="3480" customWidth="1"/>
    <col min="11784" max="11784" width="7.875" style="3480" customWidth="1"/>
    <col min="11785" max="11785" width="9" style="3480" customWidth="1"/>
    <col min="11786" max="11787" width="10.625" style="3480" customWidth="1"/>
    <col min="11788" max="11788" width="14.375" style="3480" customWidth="1"/>
    <col min="11789" max="11789" width="6.25" style="3480" customWidth="1"/>
    <col min="11790" max="11790" width="62.5" style="3480" customWidth="1"/>
    <col min="11791" max="12033" width="9" style="3480"/>
    <col min="12034" max="12034" width="56.625" style="3480" customWidth="1"/>
    <col min="12035" max="12035" width="6.25" style="3480" customWidth="1"/>
    <col min="12036" max="12038" width="13.875" style="3480" customWidth="1"/>
    <col min="12039" max="12039" width="20.875" style="3480" customWidth="1"/>
    <col min="12040" max="12040" width="7.875" style="3480" customWidth="1"/>
    <col min="12041" max="12041" width="9" style="3480" customWidth="1"/>
    <col min="12042" max="12043" width="10.625" style="3480" customWidth="1"/>
    <col min="12044" max="12044" width="14.375" style="3480" customWidth="1"/>
    <col min="12045" max="12045" width="6.25" style="3480" customWidth="1"/>
    <col min="12046" max="12046" width="62.5" style="3480" customWidth="1"/>
    <col min="12047" max="12289" width="9" style="3480"/>
    <col min="12290" max="12290" width="56.625" style="3480" customWidth="1"/>
    <col min="12291" max="12291" width="6.25" style="3480" customWidth="1"/>
    <col min="12292" max="12294" width="13.875" style="3480" customWidth="1"/>
    <col min="12295" max="12295" width="20.875" style="3480" customWidth="1"/>
    <col min="12296" max="12296" width="7.875" style="3480" customWidth="1"/>
    <col min="12297" max="12297" width="9" style="3480" customWidth="1"/>
    <col min="12298" max="12299" width="10.625" style="3480" customWidth="1"/>
    <col min="12300" max="12300" width="14.375" style="3480" customWidth="1"/>
    <col min="12301" max="12301" width="6.25" style="3480" customWidth="1"/>
    <col min="12302" max="12302" width="62.5" style="3480" customWidth="1"/>
    <col min="12303" max="12545" width="9" style="3480"/>
    <col min="12546" max="12546" width="56.625" style="3480" customWidth="1"/>
    <col min="12547" max="12547" width="6.25" style="3480" customWidth="1"/>
    <col min="12548" max="12550" width="13.875" style="3480" customWidth="1"/>
    <col min="12551" max="12551" width="20.875" style="3480" customWidth="1"/>
    <col min="12552" max="12552" width="7.875" style="3480" customWidth="1"/>
    <col min="12553" max="12553" width="9" style="3480" customWidth="1"/>
    <col min="12554" max="12555" width="10.625" style="3480" customWidth="1"/>
    <col min="12556" max="12556" width="14.375" style="3480" customWidth="1"/>
    <col min="12557" max="12557" width="6.25" style="3480" customWidth="1"/>
    <col min="12558" max="12558" width="62.5" style="3480" customWidth="1"/>
    <col min="12559" max="12801" width="9" style="3480"/>
    <col min="12802" max="12802" width="56.625" style="3480" customWidth="1"/>
    <col min="12803" max="12803" width="6.25" style="3480" customWidth="1"/>
    <col min="12804" max="12806" width="13.875" style="3480" customWidth="1"/>
    <col min="12807" max="12807" width="20.875" style="3480" customWidth="1"/>
    <col min="12808" max="12808" width="7.875" style="3480" customWidth="1"/>
    <col min="12809" max="12809" width="9" style="3480" customWidth="1"/>
    <col min="12810" max="12811" width="10.625" style="3480" customWidth="1"/>
    <col min="12812" max="12812" width="14.375" style="3480" customWidth="1"/>
    <col min="12813" max="12813" width="6.25" style="3480" customWidth="1"/>
    <col min="12814" max="12814" width="62.5" style="3480" customWidth="1"/>
    <col min="12815" max="13057" width="9" style="3480"/>
    <col min="13058" max="13058" width="56.625" style="3480" customWidth="1"/>
    <col min="13059" max="13059" width="6.25" style="3480" customWidth="1"/>
    <col min="13060" max="13062" width="13.875" style="3480" customWidth="1"/>
    <col min="13063" max="13063" width="20.875" style="3480" customWidth="1"/>
    <col min="13064" max="13064" width="7.875" style="3480" customWidth="1"/>
    <col min="13065" max="13065" width="9" style="3480" customWidth="1"/>
    <col min="13066" max="13067" width="10.625" style="3480" customWidth="1"/>
    <col min="13068" max="13068" width="14.375" style="3480" customWidth="1"/>
    <col min="13069" max="13069" width="6.25" style="3480" customWidth="1"/>
    <col min="13070" max="13070" width="62.5" style="3480" customWidth="1"/>
    <col min="13071" max="13313" width="9" style="3480"/>
    <col min="13314" max="13314" width="56.625" style="3480" customWidth="1"/>
    <col min="13315" max="13315" width="6.25" style="3480" customWidth="1"/>
    <col min="13316" max="13318" width="13.875" style="3480" customWidth="1"/>
    <col min="13319" max="13319" width="20.875" style="3480" customWidth="1"/>
    <col min="13320" max="13320" width="7.875" style="3480" customWidth="1"/>
    <col min="13321" max="13321" width="9" style="3480" customWidth="1"/>
    <col min="13322" max="13323" width="10.625" style="3480" customWidth="1"/>
    <col min="13324" max="13324" width="14.375" style="3480" customWidth="1"/>
    <col min="13325" max="13325" width="6.25" style="3480" customWidth="1"/>
    <col min="13326" max="13326" width="62.5" style="3480" customWidth="1"/>
    <col min="13327" max="13569" width="9" style="3480"/>
    <col min="13570" max="13570" width="56.625" style="3480" customWidth="1"/>
    <col min="13571" max="13571" width="6.25" style="3480" customWidth="1"/>
    <col min="13572" max="13574" width="13.875" style="3480" customWidth="1"/>
    <col min="13575" max="13575" width="20.875" style="3480" customWidth="1"/>
    <col min="13576" max="13576" width="7.875" style="3480" customWidth="1"/>
    <col min="13577" max="13577" width="9" style="3480" customWidth="1"/>
    <col min="13578" max="13579" width="10.625" style="3480" customWidth="1"/>
    <col min="13580" max="13580" width="14.375" style="3480" customWidth="1"/>
    <col min="13581" max="13581" width="6.25" style="3480" customWidth="1"/>
    <col min="13582" max="13582" width="62.5" style="3480" customWidth="1"/>
    <col min="13583" max="13825" width="9" style="3480"/>
    <col min="13826" max="13826" width="56.625" style="3480" customWidth="1"/>
    <col min="13827" max="13827" width="6.25" style="3480" customWidth="1"/>
    <col min="13828" max="13830" width="13.875" style="3480" customWidth="1"/>
    <col min="13831" max="13831" width="20.875" style="3480" customWidth="1"/>
    <col min="13832" max="13832" width="7.875" style="3480" customWidth="1"/>
    <col min="13833" max="13833" width="9" style="3480" customWidth="1"/>
    <col min="13834" max="13835" width="10.625" style="3480" customWidth="1"/>
    <col min="13836" max="13836" width="14.375" style="3480" customWidth="1"/>
    <col min="13837" max="13837" width="6.25" style="3480" customWidth="1"/>
    <col min="13838" max="13838" width="62.5" style="3480" customWidth="1"/>
    <col min="13839" max="14081" width="9" style="3480"/>
    <col min="14082" max="14082" width="56.625" style="3480" customWidth="1"/>
    <col min="14083" max="14083" width="6.25" style="3480" customWidth="1"/>
    <col min="14084" max="14086" width="13.875" style="3480" customWidth="1"/>
    <col min="14087" max="14087" width="20.875" style="3480" customWidth="1"/>
    <col min="14088" max="14088" width="7.875" style="3480" customWidth="1"/>
    <col min="14089" max="14089" width="9" style="3480" customWidth="1"/>
    <col min="14090" max="14091" width="10.625" style="3480" customWidth="1"/>
    <col min="14092" max="14092" width="14.375" style="3480" customWidth="1"/>
    <col min="14093" max="14093" width="6.25" style="3480" customWidth="1"/>
    <col min="14094" max="14094" width="62.5" style="3480" customWidth="1"/>
    <col min="14095" max="14337" width="9" style="3480"/>
    <col min="14338" max="14338" width="56.625" style="3480" customWidth="1"/>
    <col min="14339" max="14339" width="6.25" style="3480" customWidth="1"/>
    <col min="14340" max="14342" width="13.875" style="3480" customWidth="1"/>
    <col min="14343" max="14343" width="20.875" style="3480" customWidth="1"/>
    <col min="14344" max="14344" width="7.875" style="3480" customWidth="1"/>
    <col min="14345" max="14345" width="9" style="3480" customWidth="1"/>
    <col min="14346" max="14347" width="10.625" style="3480" customWidth="1"/>
    <col min="14348" max="14348" width="14.375" style="3480" customWidth="1"/>
    <col min="14349" max="14349" width="6.25" style="3480" customWidth="1"/>
    <col min="14350" max="14350" width="62.5" style="3480" customWidth="1"/>
    <col min="14351" max="14593" width="9" style="3480"/>
    <col min="14594" max="14594" width="56.625" style="3480" customWidth="1"/>
    <col min="14595" max="14595" width="6.25" style="3480" customWidth="1"/>
    <col min="14596" max="14598" width="13.875" style="3480" customWidth="1"/>
    <col min="14599" max="14599" width="20.875" style="3480" customWidth="1"/>
    <col min="14600" max="14600" width="7.875" style="3480" customWidth="1"/>
    <col min="14601" max="14601" width="9" style="3480" customWidth="1"/>
    <col min="14602" max="14603" width="10.625" style="3480" customWidth="1"/>
    <col min="14604" max="14604" width="14.375" style="3480" customWidth="1"/>
    <col min="14605" max="14605" width="6.25" style="3480" customWidth="1"/>
    <col min="14606" max="14606" width="62.5" style="3480" customWidth="1"/>
    <col min="14607" max="14849" width="9" style="3480"/>
    <col min="14850" max="14850" width="56.625" style="3480" customWidth="1"/>
    <col min="14851" max="14851" width="6.25" style="3480" customWidth="1"/>
    <col min="14852" max="14854" width="13.875" style="3480" customWidth="1"/>
    <col min="14855" max="14855" width="20.875" style="3480" customWidth="1"/>
    <col min="14856" max="14856" width="7.875" style="3480" customWidth="1"/>
    <col min="14857" max="14857" width="9" style="3480" customWidth="1"/>
    <col min="14858" max="14859" width="10.625" style="3480" customWidth="1"/>
    <col min="14860" max="14860" width="14.375" style="3480" customWidth="1"/>
    <col min="14861" max="14861" width="6.25" style="3480" customWidth="1"/>
    <col min="14862" max="14862" width="62.5" style="3480" customWidth="1"/>
    <col min="14863" max="15105" width="9" style="3480"/>
    <col min="15106" max="15106" width="56.625" style="3480" customWidth="1"/>
    <col min="15107" max="15107" width="6.25" style="3480" customWidth="1"/>
    <col min="15108" max="15110" width="13.875" style="3480" customWidth="1"/>
    <col min="15111" max="15111" width="20.875" style="3480" customWidth="1"/>
    <col min="15112" max="15112" width="7.875" style="3480" customWidth="1"/>
    <col min="15113" max="15113" width="9" style="3480" customWidth="1"/>
    <col min="15114" max="15115" width="10.625" style="3480" customWidth="1"/>
    <col min="15116" max="15116" width="14.375" style="3480" customWidth="1"/>
    <col min="15117" max="15117" width="6.25" style="3480" customWidth="1"/>
    <col min="15118" max="15118" width="62.5" style="3480" customWidth="1"/>
    <col min="15119" max="15361" width="9" style="3480"/>
    <col min="15362" max="15362" width="56.625" style="3480" customWidth="1"/>
    <col min="15363" max="15363" width="6.25" style="3480" customWidth="1"/>
    <col min="15364" max="15366" width="13.875" style="3480" customWidth="1"/>
    <col min="15367" max="15367" width="20.875" style="3480" customWidth="1"/>
    <col min="15368" max="15368" width="7.875" style="3480" customWidth="1"/>
    <col min="15369" max="15369" width="9" style="3480" customWidth="1"/>
    <col min="15370" max="15371" width="10.625" style="3480" customWidth="1"/>
    <col min="15372" max="15372" width="14.375" style="3480" customWidth="1"/>
    <col min="15373" max="15373" width="6.25" style="3480" customWidth="1"/>
    <col min="15374" max="15374" width="62.5" style="3480" customWidth="1"/>
    <col min="15375" max="15617" width="9" style="3480"/>
    <col min="15618" max="15618" width="56.625" style="3480" customWidth="1"/>
    <col min="15619" max="15619" width="6.25" style="3480" customWidth="1"/>
    <col min="15620" max="15622" width="13.875" style="3480" customWidth="1"/>
    <col min="15623" max="15623" width="20.875" style="3480" customWidth="1"/>
    <col min="15624" max="15624" width="7.875" style="3480" customWidth="1"/>
    <col min="15625" max="15625" width="9" style="3480" customWidth="1"/>
    <col min="15626" max="15627" width="10.625" style="3480" customWidth="1"/>
    <col min="15628" max="15628" width="14.375" style="3480" customWidth="1"/>
    <col min="15629" max="15629" width="6.25" style="3480" customWidth="1"/>
    <col min="15630" max="15630" width="62.5" style="3480" customWidth="1"/>
    <col min="15631" max="15873" width="9" style="3480"/>
    <col min="15874" max="15874" width="56.625" style="3480" customWidth="1"/>
    <col min="15875" max="15875" width="6.25" style="3480" customWidth="1"/>
    <col min="15876" max="15878" width="13.875" style="3480" customWidth="1"/>
    <col min="15879" max="15879" width="20.875" style="3480" customWidth="1"/>
    <col min="15880" max="15880" width="7.875" style="3480" customWidth="1"/>
    <col min="15881" max="15881" width="9" style="3480" customWidth="1"/>
    <col min="15882" max="15883" width="10.625" style="3480" customWidth="1"/>
    <col min="15884" max="15884" width="14.375" style="3480" customWidth="1"/>
    <col min="15885" max="15885" width="6.25" style="3480" customWidth="1"/>
    <col min="15886" max="15886" width="62.5" style="3480" customWidth="1"/>
    <col min="15887" max="16129" width="9" style="3480"/>
    <col min="16130" max="16130" width="56.625" style="3480" customWidth="1"/>
    <col min="16131" max="16131" width="6.25" style="3480" customWidth="1"/>
    <col min="16132" max="16134" width="13.875" style="3480" customWidth="1"/>
    <col min="16135" max="16135" width="20.875" style="3480" customWidth="1"/>
    <col min="16136" max="16136" width="7.875" style="3480" customWidth="1"/>
    <col min="16137" max="16137" width="9" style="3480" customWidth="1"/>
    <col min="16138" max="16139" width="10.625" style="3480" customWidth="1"/>
    <col min="16140" max="16140" width="14.375" style="3480" customWidth="1"/>
    <col min="16141" max="16141" width="6.25" style="3480" customWidth="1"/>
    <col min="16142" max="16142" width="62.5" style="3480" customWidth="1"/>
    <col min="16143" max="16384" width="9" style="3480"/>
  </cols>
  <sheetData>
    <row r="1" spans="1:14" s="3479" customFormat="1" ht="22.5">
      <c r="A1" s="3479" t="s">
        <v>3209</v>
      </c>
      <c r="B1" s="3479" t="s">
        <v>3210</v>
      </c>
      <c r="C1" s="3479" t="s">
        <v>3211</v>
      </c>
      <c r="D1" s="3479" t="s">
        <v>3212</v>
      </c>
      <c r="E1" s="3479" t="s">
        <v>3213</v>
      </c>
      <c r="F1" s="3479" t="s">
        <v>2036</v>
      </c>
      <c r="G1" s="3479" t="s">
        <v>3214</v>
      </c>
      <c r="H1" s="3479" t="s">
        <v>3215</v>
      </c>
      <c r="I1" s="3479" t="s">
        <v>3216</v>
      </c>
      <c r="J1" s="3479" t="s">
        <v>3217</v>
      </c>
      <c r="K1" s="3479" t="s">
        <v>3331</v>
      </c>
      <c r="L1" s="3479" t="s">
        <v>3218</v>
      </c>
      <c r="M1" s="3479" t="s">
        <v>3219</v>
      </c>
      <c r="N1" s="3479" t="s">
        <v>3220</v>
      </c>
    </row>
    <row r="2" spans="1:14">
      <c r="A2" s="3480" t="s">
        <v>3221</v>
      </c>
      <c r="B2" s="3480" t="s">
        <v>3222</v>
      </c>
      <c r="C2" s="3480" t="s">
        <v>3223</v>
      </c>
      <c r="D2" s="3480">
        <v>60173</v>
      </c>
      <c r="E2" s="3480">
        <v>96276.800000000003</v>
      </c>
      <c r="F2" s="3480">
        <v>1.6</v>
      </c>
      <c r="G2" s="3480" t="s">
        <v>3224</v>
      </c>
      <c r="H2" s="3480" t="s">
        <v>3225</v>
      </c>
      <c r="I2" s="3480">
        <v>202182</v>
      </c>
      <c r="J2" s="3480">
        <v>202582</v>
      </c>
      <c r="K2" s="3480">
        <f>ROUND(I2/E2*10000,0)</f>
        <v>21000</v>
      </c>
      <c r="L2" s="3481">
        <v>21041.61</v>
      </c>
      <c r="M2" s="3480">
        <v>0.2</v>
      </c>
      <c r="N2" s="3480" t="s">
        <v>3226</v>
      </c>
    </row>
    <row r="3" spans="1:14">
      <c r="A3" s="3480" t="s">
        <v>3227</v>
      </c>
      <c r="B3" s="3480" t="s">
        <v>3222</v>
      </c>
      <c r="C3" s="3480" t="s">
        <v>3223</v>
      </c>
      <c r="D3" s="3480">
        <v>92012.3</v>
      </c>
      <c r="E3" s="3480">
        <v>184024.6</v>
      </c>
      <c r="F3" s="3480">
        <v>2</v>
      </c>
      <c r="G3" s="3480" t="s">
        <v>3224</v>
      </c>
      <c r="H3" s="3480" t="s">
        <v>3225</v>
      </c>
      <c r="I3" s="3480">
        <v>423257</v>
      </c>
      <c r="J3" s="3480">
        <v>423257</v>
      </c>
      <c r="K3" s="3480">
        <f t="shared" ref="K3:K45" si="0">ROUND(I3/E3*10000,0)</f>
        <v>23000</v>
      </c>
      <c r="L3" s="3481">
        <v>23000.02</v>
      </c>
      <c r="M3" s="3480">
        <v>0</v>
      </c>
      <c r="N3" s="3480" t="s">
        <v>3228</v>
      </c>
    </row>
    <row r="4" spans="1:14">
      <c r="A4" s="3480" t="s">
        <v>3332</v>
      </c>
      <c r="B4" s="3480" t="s">
        <v>3222</v>
      </c>
      <c r="C4" s="3480" t="s">
        <v>3223</v>
      </c>
      <c r="D4" s="3480">
        <v>95994.4</v>
      </c>
      <c r="E4" s="3480">
        <v>191988.8</v>
      </c>
      <c r="F4" s="3480">
        <v>2</v>
      </c>
      <c r="G4" s="3480" t="s">
        <v>3224</v>
      </c>
      <c r="H4" s="3480" t="s">
        <v>3229</v>
      </c>
      <c r="I4" s="3480">
        <v>33656</v>
      </c>
      <c r="J4" s="3480">
        <v>33656</v>
      </c>
      <c r="K4" s="3480">
        <f t="shared" si="0"/>
        <v>1753</v>
      </c>
      <c r="L4" s="3480">
        <v>1753.01</v>
      </c>
      <c r="M4" s="3480">
        <v>0</v>
      </c>
      <c r="N4" s="3480" t="s">
        <v>3230</v>
      </c>
    </row>
    <row r="5" spans="1:14">
      <c r="A5" s="3480" t="s">
        <v>3231</v>
      </c>
      <c r="B5" s="3480" t="s">
        <v>3222</v>
      </c>
      <c r="C5" s="3480" t="s">
        <v>3223</v>
      </c>
      <c r="D5" s="3480">
        <v>20964.5</v>
      </c>
      <c r="E5" s="3480">
        <v>46121.9</v>
      </c>
      <c r="F5" s="3480">
        <v>2.2000000000000002</v>
      </c>
      <c r="G5" s="3480" t="s">
        <v>3224</v>
      </c>
      <c r="H5" s="3480" t="s">
        <v>3232</v>
      </c>
      <c r="I5" s="3480">
        <v>14029</v>
      </c>
      <c r="J5" s="3480">
        <v>14029</v>
      </c>
      <c r="K5" s="3480">
        <f t="shared" si="0"/>
        <v>3042</v>
      </c>
      <c r="L5" s="3480">
        <v>3041.71</v>
      </c>
      <c r="M5" s="3480">
        <v>0</v>
      </c>
      <c r="N5" s="3480" t="s">
        <v>3233</v>
      </c>
    </row>
    <row r="6" spans="1:14">
      <c r="A6" s="3480" t="s">
        <v>3234</v>
      </c>
      <c r="B6" s="3480" t="s">
        <v>3222</v>
      </c>
      <c r="C6" s="3480" t="s">
        <v>3223</v>
      </c>
      <c r="D6" s="3480">
        <v>23692.2</v>
      </c>
      <c r="E6" s="3480">
        <v>47384.4</v>
      </c>
      <c r="F6" s="3480">
        <v>2</v>
      </c>
      <c r="G6" s="3480" t="s">
        <v>3224</v>
      </c>
      <c r="H6" s="3480" t="s">
        <v>3232</v>
      </c>
      <c r="I6" s="3480">
        <v>15854</v>
      </c>
      <c r="J6" s="3480">
        <v>15854</v>
      </c>
      <c r="K6" s="3480">
        <f t="shared" si="0"/>
        <v>3346</v>
      </c>
      <c r="L6" s="3480">
        <v>3345.82</v>
      </c>
      <c r="M6" s="3480">
        <v>0</v>
      </c>
      <c r="N6" s="3480" t="s">
        <v>3235</v>
      </c>
    </row>
    <row r="7" spans="1:14">
      <c r="A7" s="3480" t="s">
        <v>3236</v>
      </c>
      <c r="B7" s="3480" t="s">
        <v>3222</v>
      </c>
      <c r="C7" s="3480" t="s">
        <v>3223</v>
      </c>
      <c r="D7" s="3480">
        <v>25239.8</v>
      </c>
      <c r="E7" s="3480">
        <v>63099.5</v>
      </c>
      <c r="F7" s="3480">
        <v>2.5</v>
      </c>
      <c r="G7" s="3480" t="s">
        <v>3224</v>
      </c>
      <c r="H7" s="3480" t="s">
        <v>3232</v>
      </c>
      <c r="I7" s="3480">
        <v>16890</v>
      </c>
      <c r="J7" s="3480">
        <v>16890</v>
      </c>
      <c r="K7" s="3480">
        <f t="shared" si="0"/>
        <v>2677</v>
      </c>
      <c r="L7" s="3480">
        <v>2676.71</v>
      </c>
      <c r="M7" s="3480">
        <v>0</v>
      </c>
      <c r="N7" s="3480" t="s">
        <v>3237</v>
      </c>
    </row>
    <row r="8" spans="1:14">
      <c r="A8" s="3480" t="s">
        <v>3238</v>
      </c>
      <c r="B8" s="3480" t="s">
        <v>3222</v>
      </c>
      <c r="C8" s="3480" t="s">
        <v>3223</v>
      </c>
      <c r="D8" s="3480">
        <v>24848.799999999999</v>
      </c>
      <c r="E8" s="3480">
        <v>54667.360000000001</v>
      </c>
      <c r="F8" s="3480">
        <v>2.2000000000000002</v>
      </c>
      <c r="G8" s="3480" t="s">
        <v>3224</v>
      </c>
      <c r="H8" s="3480" t="s">
        <v>3239</v>
      </c>
      <c r="I8" s="3480">
        <v>16628</v>
      </c>
      <c r="J8" s="3480">
        <v>16628</v>
      </c>
      <c r="K8" s="3480">
        <f t="shared" si="0"/>
        <v>3042</v>
      </c>
      <c r="L8" s="3480">
        <v>3041.67</v>
      </c>
      <c r="M8" s="3480">
        <v>0</v>
      </c>
      <c r="N8" s="3480" t="s">
        <v>3240</v>
      </c>
    </row>
    <row r="9" spans="1:14">
      <c r="A9" s="3480" t="s">
        <v>3241</v>
      </c>
      <c r="B9" s="3480" t="s">
        <v>3222</v>
      </c>
      <c r="C9" s="3480" t="s">
        <v>3242</v>
      </c>
      <c r="D9" s="3480">
        <v>53968.800000000003</v>
      </c>
      <c r="E9" s="3480">
        <v>134922</v>
      </c>
      <c r="F9" s="3480">
        <v>2.5</v>
      </c>
      <c r="G9" s="3480" t="s">
        <v>3224</v>
      </c>
      <c r="H9" s="3480" t="s">
        <v>3243</v>
      </c>
      <c r="I9" s="3480">
        <v>188891</v>
      </c>
      <c r="J9" s="3480">
        <v>188891</v>
      </c>
      <c r="K9" s="3480">
        <f t="shared" si="0"/>
        <v>14000</v>
      </c>
      <c r="L9" s="3480">
        <v>14000.01</v>
      </c>
      <c r="M9" s="3480">
        <v>0</v>
      </c>
      <c r="N9" s="3480" t="s">
        <v>3244</v>
      </c>
    </row>
    <row r="10" spans="1:14">
      <c r="A10" s="3480" t="s">
        <v>3245</v>
      </c>
      <c r="B10" s="3480" t="s">
        <v>3222</v>
      </c>
      <c r="C10" s="3480" t="s">
        <v>3223</v>
      </c>
      <c r="D10" s="3480">
        <v>64537.7</v>
      </c>
      <c r="E10" s="3480">
        <v>96806.55</v>
      </c>
      <c r="F10" s="3480">
        <v>1.5</v>
      </c>
      <c r="G10" s="3480" t="s">
        <v>3246</v>
      </c>
      <c r="H10" s="3480" t="s">
        <v>3243</v>
      </c>
      <c r="I10" s="3480">
        <v>106488</v>
      </c>
      <c r="J10" s="3480">
        <v>106888</v>
      </c>
      <c r="K10" s="3480">
        <f t="shared" si="0"/>
        <v>11000</v>
      </c>
      <c r="L10" s="3480">
        <v>11041.39</v>
      </c>
      <c r="M10" s="3480">
        <v>0.38</v>
      </c>
      <c r="N10" s="3480" t="s">
        <v>3247</v>
      </c>
    </row>
    <row r="11" spans="1:14">
      <c r="A11" s="3480" t="s">
        <v>3248</v>
      </c>
      <c r="B11" s="3480" t="s">
        <v>3222</v>
      </c>
      <c r="C11" s="3480" t="s">
        <v>3223</v>
      </c>
      <c r="D11" s="3480">
        <v>44993.4</v>
      </c>
      <c r="E11" s="3480">
        <v>71989.440000000002</v>
      </c>
      <c r="F11" s="3480">
        <v>1.6</v>
      </c>
      <c r="G11" s="3480" t="s">
        <v>3246</v>
      </c>
      <c r="H11" s="3480" t="s">
        <v>3249</v>
      </c>
      <c r="I11" s="3480">
        <v>59137</v>
      </c>
      <c r="J11" s="3480">
        <v>59337</v>
      </c>
      <c r="K11" s="3480">
        <f t="shared" si="0"/>
        <v>8215</v>
      </c>
      <c r="L11" s="3480">
        <v>8242.4500000000007</v>
      </c>
      <c r="M11" s="3480">
        <v>0.34</v>
      </c>
      <c r="N11" s="3480" t="s">
        <v>3250</v>
      </c>
    </row>
    <row r="12" spans="1:14">
      <c r="A12" s="3480" t="s">
        <v>3251</v>
      </c>
      <c r="B12" s="3480" t="s">
        <v>3222</v>
      </c>
      <c r="C12" s="3480" t="s">
        <v>3223</v>
      </c>
      <c r="D12" s="3480">
        <v>52626.400000000001</v>
      </c>
      <c r="E12" s="3480">
        <v>94727.52</v>
      </c>
      <c r="F12" s="3480">
        <v>1.8</v>
      </c>
      <c r="G12" s="3480" t="s">
        <v>3246</v>
      </c>
      <c r="H12" s="3480" t="s">
        <v>3252</v>
      </c>
      <c r="I12" s="3480">
        <v>217874</v>
      </c>
      <c r="J12" s="3480">
        <v>219374</v>
      </c>
      <c r="K12" s="3480">
        <f t="shared" si="0"/>
        <v>23000</v>
      </c>
      <c r="L12" s="3481">
        <v>23158.41</v>
      </c>
      <c r="M12" s="3480">
        <v>0.69</v>
      </c>
      <c r="N12" s="3480" t="s">
        <v>3253</v>
      </c>
    </row>
    <row r="13" spans="1:14">
      <c r="A13" s="3480" t="s">
        <v>3254</v>
      </c>
      <c r="B13" s="3480" t="s">
        <v>3222</v>
      </c>
      <c r="C13" s="3480" t="s">
        <v>3223</v>
      </c>
      <c r="D13" s="3480">
        <v>75224.2</v>
      </c>
      <c r="E13" s="3480">
        <v>120358.7</v>
      </c>
      <c r="F13" s="3480">
        <v>1.6</v>
      </c>
      <c r="G13" s="3480" t="s">
        <v>3246</v>
      </c>
      <c r="H13" s="3480" t="s">
        <v>3255</v>
      </c>
      <c r="I13" s="3480">
        <v>117952</v>
      </c>
      <c r="J13" s="3480">
        <v>175500</v>
      </c>
      <c r="K13" s="3480">
        <f t="shared" si="0"/>
        <v>9800</v>
      </c>
      <c r="L13" s="3480">
        <v>14581.4</v>
      </c>
      <c r="M13" s="3480">
        <v>48.79</v>
      </c>
      <c r="N13" s="3480" t="s">
        <v>3256</v>
      </c>
    </row>
    <row r="14" spans="1:14">
      <c r="A14" s="3480" t="s">
        <v>3257</v>
      </c>
      <c r="B14" s="3480" t="s">
        <v>3222</v>
      </c>
      <c r="C14" s="3480" t="s">
        <v>3223</v>
      </c>
      <c r="D14" s="3480">
        <v>17955.599999999999</v>
      </c>
      <c r="E14" s="3480">
        <v>28728.959999999999</v>
      </c>
      <c r="F14" s="3480">
        <v>1.6</v>
      </c>
      <c r="G14" s="3480" t="s">
        <v>3224</v>
      </c>
      <c r="H14" s="3480" t="s">
        <v>3258</v>
      </c>
      <c r="I14" s="3480">
        <v>8395</v>
      </c>
      <c r="J14" s="3480">
        <v>8395</v>
      </c>
      <c r="K14" s="3480">
        <f t="shared" si="0"/>
        <v>2922</v>
      </c>
      <c r="L14" s="3480">
        <v>2922.13</v>
      </c>
      <c r="M14" s="3480">
        <v>0</v>
      </c>
      <c r="N14" s="3480" t="s">
        <v>3259</v>
      </c>
    </row>
    <row r="15" spans="1:14">
      <c r="A15" s="3480" t="s">
        <v>3260</v>
      </c>
      <c r="B15" s="3480" t="s">
        <v>3222</v>
      </c>
      <c r="C15" s="3480" t="s">
        <v>3223</v>
      </c>
      <c r="D15" s="3480">
        <v>28547.9</v>
      </c>
      <c r="E15" s="3480">
        <v>71369.75</v>
      </c>
      <c r="F15" s="3480">
        <v>2.5</v>
      </c>
      <c r="G15" s="3480" t="s">
        <v>3224</v>
      </c>
      <c r="H15" s="3480" t="s">
        <v>3261</v>
      </c>
      <c r="I15" s="3480">
        <v>18756</v>
      </c>
      <c r="J15" s="3480">
        <v>18756</v>
      </c>
      <c r="K15" s="3480">
        <f t="shared" si="0"/>
        <v>2628</v>
      </c>
      <c r="L15" s="3480">
        <v>2628</v>
      </c>
      <c r="M15" s="3480">
        <v>0</v>
      </c>
      <c r="N15" s="3480" t="s">
        <v>3262</v>
      </c>
    </row>
    <row r="16" spans="1:14">
      <c r="A16" s="3480" t="s">
        <v>3263</v>
      </c>
      <c r="B16" s="3480" t="s">
        <v>3222</v>
      </c>
      <c r="C16" s="3480" t="s">
        <v>3223</v>
      </c>
      <c r="D16" s="3480">
        <v>30264.9</v>
      </c>
      <c r="E16" s="3480">
        <v>69609.27</v>
      </c>
      <c r="F16" s="3480">
        <v>2.2999999999999998</v>
      </c>
      <c r="G16" s="3480" t="s">
        <v>3224</v>
      </c>
      <c r="H16" s="3480" t="s">
        <v>3261</v>
      </c>
      <c r="I16" s="3480">
        <v>18426</v>
      </c>
      <c r="J16" s="3480">
        <v>18426</v>
      </c>
      <c r="K16" s="3480">
        <f t="shared" si="0"/>
        <v>2647</v>
      </c>
      <c r="L16" s="3480">
        <v>2647.05</v>
      </c>
      <c r="M16" s="3480">
        <v>0</v>
      </c>
      <c r="N16" s="3480" t="s">
        <v>3262</v>
      </c>
    </row>
    <row r="17" spans="1:14">
      <c r="A17" s="3480" t="s">
        <v>3264</v>
      </c>
      <c r="B17" s="3480" t="s">
        <v>3222</v>
      </c>
      <c r="C17" s="3480" t="s">
        <v>3223</v>
      </c>
      <c r="D17" s="3480">
        <v>15886.7</v>
      </c>
      <c r="E17" s="3480">
        <v>25418.720000000001</v>
      </c>
      <c r="F17" s="3480">
        <v>1.6</v>
      </c>
      <c r="G17" s="3480" t="s">
        <v>3224</v>
      </c>
      <c r="H17" s="3480" t="s">
        <v>3265</v>
      </c>
      <c r="I17" s="3480">
        <v>20844</v>
      </c>
      <c r="J17" s="3480">
        <v>21900</v>
      </c>
      <c r="K17" s="3480">
        <f t="shared" si="0"/>
        <v>8200</v>
      </c>
      <c r="L17" s="3480">
        <v>8615.7000000000007</v>
      </c>
      <c r="M17" s="3480">
        <v>5.07</v>
      </c>
      <c r="N17" s="3480" t="s">
        <v>3266</v>
      </c>
    </row>
    <row r="18" spans="1:14">
      <c r="A18" s="3480" t="s">
        <v>3267</v>
      </c>
      <c r="B18" s="3480" t="s">
        <v>3222</v>
      </c>
      <c r="C18" s="3480" t="s">
        <v>3223</v>
      </c>
      <c r="D18" s="3480">
        <v>48323.5</v>
      </c>
      <c r="E18" s="3480">
        <v>77317.600000000006</v>
      </c>
      <c r="F18" s="3480">
        <v>1.6</v>
      </c>
      <c r="G18" s="3480" t="s">
        <v>3224</v>
      </c>
      <c r="H18" s="3480" t="s">
        <v>3265</v>
      </c>
      <c r="I18" s="3480">
        <v>63401</v>
      </c>
      <c r="J18" s="3480">
        <v>65306</v>
      </c>
      <c r="K18" s="3480">
        <f t="shared" si="0"/>
        <v>8200</v>
      </c>
      <c r="L18" s="3480">
        <v>8446.4500000000007</v>
      </c>
      <c r="M18" s="3480">
        <v>3</v>
      </c>
      <c r="N18" s="3480" t="s">
        <v>3266</v>
      </c>
    </row>
    <row r="19" spans="1:14">
      <c r="A19" s="3480" t="s">
        <v>3268</v>
      </c>
      <c r="B19" s="3480" t="s">
        <v>3222</v>
      </c>
      <c r="C19" s="3480" t="s">
        <v>3242</v>
      </c>
      <c r="D19" s="3480">
        <v>55380.5</v>
      </c>
      <c r="E19" s="3480">
        <v>99684.9</v>
      </c>
      <c r="F19" s="3480">
        <v>1.8</v>
      </c>
      <c r="G19" s="3480" t="s">
        <v>3224</v>
      </c>
      <c r="H19" s="3480" t="s">
        <v>3269</v>
      </c>
      <c r="I19" s="3480">
        <v>68783</v>
      </c>
      <c r="J19" s="3480">
        <v>90500</v>
      </c>
      <c r="K19" s="3480">
        <f t="shared" si="0"/>
        <v>6900</v>
      </c>
      <c r="L19" s="3480">
        <v>9078.61</v>
      </c>
      <c r="M19" s="3480">
        <v>31.57</v>
      </c>
      <c r="N19" s="3480" t="s">
        <v>3270</v>
      </c>
    </row>
    <row r="20" spans="1:14">
      <c r="A20" s="3480" t="s">
        <v>3271</v>
      </c>
      <c r="B20" s="3480" t="s">
        <v>3222</v>
      </c>
      <c r="C20" s="3480" t="s">
        <v>3223</v>
      </c>
      <c r="D20" s="3480">
        <v>31544</v>
      </c>
      <c r="E20" s="3480">
        <v>69396.800000000003</v>
      </c>
      <c r="F20" s="3480">
        <v>2.2000000000000002</v>
      </c>
      <c r="G20" s="3480" t="s">
        <v>3224</v>
      </c>
      <c r="H20" s="3480" t="s">
        <v>3272</v>
      </c>
      <c r="I20" s="3480">
        <v>21108</v>
      </c>
      <c r="J20" s="3480">
        <v>21108</v>
      </c>
      <c r="K20" s="3480">
        <f t="shared" si="0"/>
        <v>3042</v>
      </c>
      <c r="L20" s="3480">
        <v>3041.63</v>
      </c>
      <c r="M20" s="3480">
        <v>0</v>
      </c>
      <c r="N20" s="3480" t="s">
        <v>3235</v>
      </c>
    </row>
    <row r="21" spans="1:14">
      <c r="A21" s="3480" t="s">
        <v>3273</v>
      </c>
      <c r="B21" s="3480" t="s">
        <v>3222</v>
      </c>
      <c r="C21" s="3480" t="s">
        <v>3223</v>
      </c>
      <c r="D21" s="3480">
        <v>36577.300000000003</v>
      </c>
      <c r="E21" s="3480">
        <v>80470.06</v>
      </c>
      <c r="F21" s="3480">
        <v>2.2000000000000002</v>
      </c>
      <c r="G21" s="3480" t="s">
        <v>3224</v>
      </c>
      <c r="H21" s="3480" t="s">
        <v>3272</v>
      </c>
      <c r="I21" s="3480">
        <v>24476</v>
      </c>
      <c r="J21" s="3480">
        <v>24476</v>
      </c>
      <c r="K21" s="3480">
        <f t="shared" si="0"/>
        <v>3042</v>
      </c>
      <c r="L21" s="3480">
        <v>3041.63</v>
      </c>
      <c r="M21" s="3480">
        <v>0</v>
      </c>
      <c r="N21" s="3480" t="s">
        <v>3235</v>
      </c>
    </row>
    <row r="22" spans="1:14">
      <c r="A22" s="3480" t="s">
        <v>3274</v>
      </c>
      <c r="B22" s="3480" t="s">
        <v>3222</v>
      </c>
      <c r="C22" s="3480" t="s">
        <v>3223</v>
      </c>
      <c r="D22" s="3480">
        <v>22590.1</v>
      </c>
      <c r="E22" s="3480">
        <v>36144.160000000003</v>
      </c>
      <c r="F22" s="3480">
        <v>1.6</v>
      </c>
      <c r="G22" s="3480" t="s">
        <v>3224</v>
      </c>
      <c r="H22" s="3480" t="s">
        <v>3275</v>
      </c>
      <c r="I22" s="3480">
        <v>15117</v>
      </c>
      <c r="J22" s="3480">
        <v>15122</v>
      </c>
      <c r="K22" s="3480">
        <f t="shared" si="0"/>
        <v>4182</v>
      </c>
      <c r="L22" s="3480">
        <v>4183.8</v>
      </c>
      <c r="M22" s="3480">
        <v>0.03</v>
      </c>
      <c r="N22" s="3480" t="s">
        <v>3276</v>
      </c>
    </row>
    <row r="23" spans="1:14">
      <c r="A23" s="3480" t="s">
        <v>3277</v>
      </c>
      <c r="B23" s="3480" t="s">
        <v>3222</v>
      </c>
      <c r="C23" s="3480" t="s">
        <v>3223</v>
      </c>
      <c r="D23" s="3480">
        <v>36556.9</v>
      </c>
      <c r="E23" s="3480">
        <v>73113.8</v>
      </c>
      <c r="F23" s="3480">
        <v>2</v>
      </c>
      <c r="G23" s="3480" t="s">
        <v>3224</v>
      </c>
      <c r="H23" s="3480" t="s">
        <v>3275</v>
      </c>
      <c r="I23" s="3480">
        <v>24463</v>
      </c>
      <c r="J23" s="3480">
        <v>24463</v>
      </c>
      <c r="K23" s="3480">
        <f t="shared" si="0"/>
        <v>3346</v>
      </c>
      <c r="L23" s="3480">
        <v>3345.88</v>
      </c>
      <c r="M23" s="3480">
        <v>0</v>
      </c>
      <c r="N23" s="3480" t="s">
        <v>3235</v>
      </c>
    </row>
    <row r="24" spans="1:14">
      <c r="A24" s="3480" t="s">
        <v>3278</v>
      </c>
      <c r="B24" s="3480" t="s">
        <v>3222</v>
      </c>
      <c r="C24" s="3480" t="s">
        <v>3223</v>
      </c>
      <c r="D24" s="3480">
        <v>25550.9</v>
      </c>
      <c r="E24" s="3480">
        <v>51101.8</v>
      </c>
      <c r="F24" s="3480">
        <v>2</v>
      </c>
      <c r="G24" s="3480" t="s">
        <v>3224</v>
      </c>
      <c r="H24" s="3480" t="s">
        <v>3279</v>
      </c>
      <c r="I24" s="3480">
        <v>17098</v>
      </c>
      <c r="J24" s="3480">
        <v>17098</v>
      </c>
      <c r="K24" s="3480">
        <f t="shared" si="0"/>
        <v>3346</v>
      </c>
      <c r="L24" s="3480">
        <v>3345.86</v>
      </c>
      <c r="M24" s="3480">
        <v>0</v>
      </c>
      <c r="N24" s="3480" t="s">
        <v>3280</v>
      </c>
    </row>
    <row r="25" spans="1:14">
      <c r="A25" s="3480" t="s">
        <v>3281</v>
      </c>
      <c r="B25" s="3480" t="s">
        <v>3222</v>
      </c>
      <c r="C25" s="3480" t="s">
        <v>3223</v>
      </c>
      <c r="D25" s="3480">
        <v>22017.4</v>
      </c>
      <c r="E25" s="3480">
        <v>50640.02</v>
      </c>
      <c r="F25" s="3480">
        <v>2.2999999999999998</v>
      </c>
      <c r="G25" s="3480" t="s">
        <v>3224</v>
      </c>
      <c r="H25" s="3480" t="s">
        <v>3282</v>
      </c>
      <c r="I25" s="3480">
        <v>50641</v>
      </c>
      <c r="J25" s="3480">
        <v>172200</v>
      </c>
      <c r="K25" s="3480">
        <f t="shared" si="0"/>
        <v>10000</v>
      </c>
      <c r="L25" s="3480">
        <v>34004.730000000003</v>
      </c>
      <c r="M25" s="3480">
        <v>240.04</v>
      </c>
      <c r="N25" s="3480" t="s">
        <v>3259</v>
      </c>
    </row>
    <row r="26" spans="1:14">
      <c r="A26" s="3480" t="s">
        <v>3283</v>
      </c>
      <c r="B26" s="3480" t="s">
        <v>3222</v>
      </c>
      <c r="C26" s="3480" t="s">
        <v>3223</v>
      </c>
      <c r="D26" s="3480">
        <v>36594.800000000003</v>
      </c>
      <c r="E26" s="3480">
        <v>80508.56</v>
      </c>
      <c r="F26" s="3480">
        <v>2.2000000000000002</v>
      </c>
      <c r="G26" s="3480" t="s">
        <v>3224</v>
      </c>
      <c r="H26" s="3480" t="s">
        <v>3282</v>
      </c>
      <c r="I26" s="3480">
        <v>72458</v>
      </c>
      <c r="J26" s="3480">
        <v>212000</v>
      </c>
      <c r="K26" s="3480">
        <f t="shared" si="0"/>
        <v>9000</v>
      </c>
      <c r="L26" s="3480">
        <v>26332.59</v>
      </c>
      <c r="M26" s="3480">
        <v>192.58</v>
      </c>
      <c r="N26" s="3480" t="s">
        <v>3284</v>
      </c>
    </row>
    <row r="27" spans="1:14">
      <c r="A27" s="3480" t="s">
        <v>3285</v>
      </c>
      <c r="B27" s="3480" t="s">
        <v>3222</v>
      </c>
      <c r="C27" s="3480" t="s">
        <v>3223</v>
      </c>
      <c r="D27" s="3480">
        <v>41605.599999999999</v>
      </c>
      <c r="E27" s="3480">
        <v>104014</v>
      </c>
      <c r="F27" s="3480">
        <v>2.5</v>
      </c>
      <c r="G27" s="3480" t="s">
        <v>3224</v>
      </c>
      <c r="H27" s="3480" t="s">
        <v>3286</v>
      </c>
      <c r="I27" s="3480">
        <v>27335</v>
      </c>
      <c r="J27" s="3480">
        <v>27335</v>
      </c>
      <c r="K27" s="3480">
        <f t="shared" si="0"/>
        <v>2628</v>
      </c>
      <c r="L27" s="3480">
        <v>2628.01</v>
      </c>
      <c r="M27" s="3480">
        <v>0</v>
      </c>
      <c r="N27" s="3480" t="s">
        <v>3262</v>
      </c>
    </row>
    <row r="28" spans="1:14">
      <c r="A28" s="3480" t="s">
        <v>3287</v>
      </c>
      <c r="B28" s="3480" t="s">
        <v>3222</v>
      </c>
      <c r="C28" s="3480" t="s">
        <v>3223</v>
      </c>
      <c r="D28" s="3480">
        <v>52792.800000000003</v>
      </c>
      <c r="E28" s="3480">
        <v>95027.04</v>
      </c>
      <c r="F28" s="3480">
        <v>1.8</v>
      </c>
      <c r="G28" s="3480" t="s">
        <v>3224</v>
      </c>
      <c r="H28" s="3480" t="s">
        <v>3288</v>
      </c>
      <c r="I28" s="3480">
        <v>95028</v>
      </c>
      <c r="J28" s="3480">
        <v>215000</v>
      </c>
      <c r="K28" s="3480">
        <f t="shared" si="0"/>
        <v>10000</v>
      </c>
      <c r="L28" s="3480">
        <v>22625.13</v>
      </c>
      <c r="M28" s="3480">
        <v>126.25</v>
      </c>
      <c r="N28" s="3480" t="s">
        <v>3289</v>
      </c>
    </row>
    <row r="29" spans="1:14">
      <c r="A29" s="3480" t="s">
        <v>3290</v>
      </c>
      <c r="B29" s="3480" t="s">
        <v>3222</v>
      </c>
      <c r="C29" s="3480" t="s">
        <v>3223</v>
      </c>
      <c r="D29" s="3480">
        <v>54853.7</v>
      </c>
      <c r="E29" s="3480">
        <v>120678.1</v>
      </c>
      <c r="F29" s="3480">
        <v>2.2000000000000002</v>
      </c>
      <c r="G29" s="3480" t="s">
        <v>3224</v>
      </c>
      <c r="H29" s="3480" t="s">
        <v>3291</v>
      </c>
      <c r="I29" s="3480">
        <v>32197</v>
      </c>
      <c r="J29" s="3480">
        <v>32197</v>
      </c>
      <c r="K29" s="3480">
        <f t="shared" si="0"/>
        <v>2668</v>
      </c>
      <c r="L29" s="3480">
        <v>2668.01</v>
      </c>
      <c r="M29" s="3480">
        <v>0</v>
      </c>
      <c r="N29" s="3480" t="s">
        <v>3259</v>
      </c>
    </row>
    <row r="30" spans="1:14">
      <c r="A30" s="3480" t="s">
        <v>3292</v>
      </c>
      <c r="B30" s="3480" t="s">
        <v>3222</v>
      </c>
      <c r="C30" s="3480" t="s">
        <v>3223</v>
      </c>
      <c r="D30" s="3480">
        <v>33214.6</v>
      </c>
      <c r="E30" s="3480">
        <v>59786.28</v>
      </c>
      <c r="F30" s="3480">
        <v>1.8</v>
      </c>
      <c r="G30" s="3480" t="s">
        <v>3224</v>
      </c>
      <c r="H30" s="3480" t="s">
        <v>3291</v>
      </c>
      <c r="I30" s="3480">
        <v>10810</v>
      </c>
      <c r="J30" s="3480">
        <v>10810</v>
      </c>
      <c r="K30" s="3480">
        <f t="shared" si="0"/>
        <v>1808</v>
      </c>
      <c r="L30" s="3480">
        <v>1808.1</v>
      </c>
      <c r="M30" s="3480">
        <v>0</v>
      </c>
      <c r="N30" s="3480" t="s">
        <v>3293</v>
      </c>
    </row>
    <row r="31" spans="1:14">
      <c r="A31" s="3480" t="s">
        <v>3294</v>
      </c>
      <c r="B31" s="3480" t="s">
        <v>3222</v>
      </c>
      <c r="C31" s="3480" t="s">
        <v>3223</v>
      </c>
      <c r="D31" s="3480">
        <v>13827.7</v>
      </c>
      <c r="E31" s="3480">
        <v>30420.94</v>
      </c>
      <c r="F31" s="3480">
        <v>2.2000000000000002</v>
      </c>
      <c r="G31" s="3480" t="s">
        <v>3224</v>
      </c>
      <c r="H31" s="3480" t="s">
        <v>3291</v>
      </c>
      <c r="I31" s="3480">
        <v>5221</v>
      </c>
      <c r="J31" s="3480">
        <v>5221</v>
      </c>
      <c r="K31" s="3480">
        <f t="shared" si="0"/>
        <v>1716</v>
      </c>
      <c r="L31" s="3480">
        <v>1716.25</v>
      </c>
      <c r="M31" s="3480">
        <v>0</v>
      </c>
      <c r="N31" s="3480" t="s">
        <v>3293</v>
      </c>
    </row>
    <row r="32" spans="1:14">
      <c r="A32" s="3480" t="s">
        <v>3295</v>
      </c>
      <c r="B32" s="3480" t="s">
        <v>3222</v>
      </c>
      <c r="C32" s="3480" t="s">
        <v>3223</v>
      </c>
      <c r="D32" s="3480">
        <v>87916.4</v>
      </c>
      <c r="E32" s="3480">
        <v>158249.5</v>
      </c>
      <c r="F32" s="3480">
        <v>1.8</v>
      </c>
      <c r="G32" s="3480" t="s">
        <v>3224</v>
      </c>
      <c r="H32" s="3480" t="s">
        <v>3296</v>
      </c>
      <c r="I32" s="3480">
        <v>142425</v>
      </c>
      <c r="J32" s="3480">
        <v>231000</v>
      </c>
      <c r="K32" s="3480">
        <f t="shared" si="0"/>
        <v>9000</v>
      </c>
      <c r="L32" s="3480">
        <v>14597.2</v>
      </c>
      <c r="M32" s="3480">
        <v>62.19</v>
      </c>
      <c r="N32" s="3480" t="s">
        <v>3297</v>
      </c>
    </row>
    <row r="33" spans="1:14">
      <c r="A33" s="3480" t="s">
        <v>3298</v>
      </c>
      <c r="B33" s="3480" t="s">
        <v>3222</v>
      </c>
      <c r="C33" s="3480" t="s">
        <v>3223</v>
      </c>
      <c r="D33" s="3480">
        <v>36734.400000000001</v>
      </c>
      <c r="E33" s="3480">
        <v>58775.040000000001</v>
      </c>
      <c r="F33" s="3480">
        <v>1.6</v>
      </c>
      <c r="G33" s="3480" t="s">
        <v>3224</v>
      </c>
      <c r="H33" s="3480" t="s">
        <v>3299</v>
      </c>
      <c r="I33" s="3480">
        <v>24717</v>
      </c>
      <c r="J33" s="3480">
        <v>24717</v>
      </c>
      <c r="K33" s="3480">
        <f t="shared" si="0"/>
        <v>4205</v>
      </c>
      <c r="L33" s="3480">
        <v>4205.3500000000004</v>
      </c>
      <c r="M33" s="3480">
        <v>0</v>
      </c>
      <c r="N33" s="3480" t="s">
        <v>3300</v>
      </c>
    </row>
    <row r="34" spans="1:14">
      <c r="A34" s="3480" t="s">
        <v>3301</v>
      </c>
      <c r="B34" s="3480" t="s">
        <v>3222</v>
      </c>
      <c r="C34" s="3480" t="s">
        <v>3242</v>
      </c>
      <c r="D34" s="3480">
        <v>38338.699999999997</v>
      </c>
      <c r="E34" s="3480">
        <v>77739.7</v>
      </c>
      <c r="F34" s="3480" t="s">
        <v>3302</v>
      </c>
      <c r="G34" s="3480" t="s">
        <v>3224</v>
      </c>
      <c r="H34" s="3480" t="s">
        <v>3299</v>
      </c>
      <c r="I34" s="3480">
        <v>25876</v>
      </c>
      <c r="J34" s="3480">
        <v>25876</v>
      </c>
      <c r="K34" s="3480">
        <f t="shared" si="0"/>
        <v>3329</v>
      </c>
      <c r="L34" s="3480">
        <v>3328.53</v>
      </c>
      <c r="M34" s="3480">
        <v>0</v>
      </c>
      <c r="N34" s="3480" t="s">
        <v>3300</v>
      </c>
    </row>
    <row r="35" spans="1:14">
      <c r="A35" s="3480" t="s">
        <v>3303</v>
      </c>
      <c r="B35" s="3480" t="s">
        <v>3222</v>
      </c>
      <c r="C35" s="3480" t="s">
        <v>3223</v>
      </c>
      <c r="D35" s="3480">
        <v>32892.5</v>
      </c>
      <c r="E35" s="3480">
        <v>52628</v>
      </c>
      <c r="F35" s="3480">
        <v>1.6</v>
      </c>
      <c r="G35" s="3480" t="s">
        <v>3224</v>
      </c>
      <c r="H35" s="3480" t="s">
        <v>3299</v>
      </c>
      <c r="I35" s="3480">
        <v>22347</v>
      </c>
      <c r="J35" s="3480">
        <v>22347</v>
      </c>
      <c r="K35" s="3480">
        <f t="shared" si="0"/>
        <v>4246</v>
      </c>
      <c r="L35" s="3480">
        <v>4246.22</v>
      </c>
      <c r="M35" s="3480">
        <v>0</v>
      </c>
      <c r="N35" s="3480" t="s">
        <v>3300</v>
      </c>
    </row>
    <row r="36" spans="1:14">
      <c r="A36" s="3480" t="s">
        <v>3304</v>
      </c>
      <c r="B36" s="3480" t="s">
        <v>3222</v>
      </c>
      <c r="C36" s="3480" t="s">
        <v>3223</v>
      </c>
      <c r="D36" s="3480">
        <v>110074.7</v>
      </c>
      <c r="E36" s="3480">
        <v>198134.5</v>
      </c>
      <c r="F36" s="3480">
        <v>1.8</v>
      </c>
      <c r="G36" s="3480" t="s">
        <v>3224</v>
      </c>
      <c r="H36" s="3480" t="s">
        <v>3305</v>
      </c>
      <c r="I36" s="3480">
        <v>118881</v>
      </c>
      <c r="J36" s="3480">
        <v>380000</v>
      </c>
      <c r="K36" s="3480">
        <f t="shared" si="0"/>
        <v>6000</v>
      </c>
      <c r="L36" s="3480">
        <v>19178.88</v>
      </c>
      <c r="M36" s="3480">
        <v>219.65</v>
      </c>
      <c r="N36" s="3480" t="s">
        <v>3306</v>
      </c>
    </row>
    <row r="37" spans="1:14">
      <c r="A37" s="3480" t="s">
        <v>3307</v>
      </c>
      <c r="B37" s="3480" t="s">
        <v>3222</v>
      </c>
      <c r="C37" s="3480" t="s">
        <v>3242</v>
      </c>
      <c r="D37" s="3480">
        <v>19567.900000000001</v>
      </c>
      <c r="E37" s="3480">
        <v>45006.17</v>
      </c>
      <c r="F37" s="3480">
        <v>2.2999999999999998</v>
      </c>
      <c r="G37" s="3480" t="s">
        <v>3224</v>
      </c>
      <c r="H37" s="3480" t="s">
        <v>3305</v>
      </c>
      <c r="I37" s="3480">
        <v>27004</v>
      </c>
      <c r="J37" s="3480">
        <v>41600</v>
      </c>
      <c r="K37" s="3480">
        <f t="shared" si="0"/>
        <v>6000</v>
      </c>
      <c r="L37" s="3480">
        <v>9243.18</v>
      </c>
      <c r="M37" s="3480">
        <v>54.05</v>
      </c>
      <c r="N37" s="3480" t="s">
        <v>3308</v>
      </c>
    </row>
    <row r="38" spans="1:14">
      <c r="A38" s="3480" t="s">
        <v>3309</v>
      </c>
      <c r="B38" s="3480" t="s">
        <v>3222</v>
      </c>
      <c r="C38" s="3480" t="s">
        <v>3223</v>
      </c>
      <c r="D38" s="3480">
        <v>109266.4</v>
      </c>
      <c r="E38" s="3480">
        <v>174826.2</v>
      </c>
      <c r="F38" s="3480">
        <v>1.6</v>
      </c>
      <c r="G38" s="3480" t="s">
        <v>3224</v>
      </c>
      <c r="H38" s="3480" t="s">
        <v>3310</v>
      </c>
      <c r="I38" s="3480">
        <v>139861</v>
      </c>
      <c r="J38" s="3480">
        <v>231500</v>
      </c>
      <c r="K38" s="3480">
        <f t="shared" si="0"/>
        <v>8000</v>
      </c>
      <c r="L38" s="3480">
        <v>13241.71</v>
      </c>
      <c r="M38" s="3480">
        <v>65.52</v>
      </c>
      <c r="N38" s="3480" t="s">
        <v>3311</v>
      </c>
    </row>
    <row r="39" spans="1:14">
      <c r="A39" s="3480" t="s">
        <v>3312</v>
      </c>
      <c r="B39" s="3480" t="s">
        <v>3222</v>
      </c>
      <c r="C39" s="3480" t="s">
        <v>3242</v>
      </c>
      <c r="D39" s="3480">
        <v>20928.099999999999</v>
      </c>
      <c r="E39" s="3480">
        <v>48134.63</v>
      </c>
      <c r="F39" s="3480">
        <v>2.2999999999999998</v>
      </c>
      <c r="G39" s="3480" t="s">
        <v>3224</v>
      </c>
      <c r="H39" s="3480" t="s">
        <v>3313</v>
      </c>
      <c r="I39" s="3480">
        <v>28881</v>
      </c>
      <c r="J39" s="3480">
        <v>57300</v>
      </c>
      <c r="K39" s="3480">
        <f t="shared" si="0"/>
        <v>6000</v>
      </c>
      <c r="L39" s="3480">
        <v>11904.11</v>
      </c>
      <c r="M39" s="3480">
        <v>98.4</v>
      </c>
      <c r="N39" s="3480" t="s">
        <v>3314</v>
      </c>
    </row>
    <row r="40" spans="1:14">
      <c r="A40" s="3480" t="s">
        <v>3315</v>
      </c>
      <c r="B40" s="3480" t="s">
        <v>3222</v>
      </c>
      <c r="C40" s="3480" t="s">
        <v>3223</v>
      </c>
      <c r="D40" s="3480">
        <v>20122.3</v>
      </c>
      <c r="E40" s="3480">
        <v>28171.22</v>
      </c>
      <c r="F40" s="3480">
        <v>1.4</v>
      </c>
      <c r="G40" s="3480" t="s">
        <v>3224</v>
      </c>
      <c r="H40" s="3480" t="s">
        <v>3316</v>
      </c>
      <c r="I40" s="3480">
        <v>5542</v>
      </c>
      <c r="J40" s="3480">
        <v>5542</v>
      </c>
      <c r="K40" s="3480">
        <f t="shared" si="0"/>
        <v>1967</v>
      </c>
      <c r="L40" s="3480">
        <v>1967.25</v>
      </c>
      <c r="M40" s="3480">
        <v>0</v>
      </c>
      <c r="N40" s="3480" t="s">
        <v>3317</v>
      </c>
    </row>
    <row r="41" spans="1:14">
      <c r="A41" s="3480" t="s">
        <v>3318</v>
      </c>
      <c r="B41" s="3480" t="s">
        <v>3222</v>
      </c>
      <c r="C41" s="3480" t="s">
        <v>3223</v>
      </c>
      <c r="D41" s="3480">
        <v>139114.4</v>
      </c>
      <c r="E41" s="3480">
        <v>347786</v>
      </c>
      <c r="F41" s="3480">
        <v>2.5</v>
      </c>
      <c r="G41" s="3480" t="s">
        <v>3224</v>
      </c>
      <c r="H41" s="3480" t="s">
        <v>3316</v>
      </c>
      <c r="I41" s="3480">
        <v>91399</v>
      </c>
      <c r="J41" s="3480">
        <v>91399</v>
      </c>
      <c r="K41" s="3480">
        <f t="shared" si="0"/>
        <v>2628</v>
      </c>
      <c r="L41" s="3480">
        <v>2628.01</v>
      </c>
      <c r="M41" s="3480">
        <v>0</v>
      </c>
      <c r="N41" s="3480" t="s">
        <v>3259</v>
      </c>
    </row>
    <row r="42" spans="1:14">
      <c r="A42" s="3480" t="s">
        <v>3319</v>
      </c>
      <c r="B42" s="3480" t="s">
        <v>3222</v>
      </c>
      <c r="C42" s="3480" t="s">
        <v>3223</v>
      </c>
      <c r="D42" s="3480">
        <v>80020.800000000003</v>
      </c>
      <c r="E42" s="3480">
        <v>200052</v>
      </c>
      <c r="F42" s="3480">
        <v>2.5</v>
      </c>
      <c r="G42" s="3480" t="s">
        <v>3224</v>
      </c>
      <c r="H42" s="3480" t="s">
        <v>3320</v>
      </c>
      <c r="I42" s="3480">
        <v>52574</v>
      </c>
      <c r="J42" s="3480">
        <v>52574</v>
      </c>
      <c r="K42" s="3480">
        <f t="shared" si="0"/>
        <v>2628</v>
      </c>
      <c r="L42" s="3480">
        <v>2628.01</v>
      </c>
      <c r="M42" s="3480">
        <v>0</v>
      </c>
      <c r="N42" s="3480" t="s">
        <v>3321</v>
      </c>
    </row>
    <row r="43" spans="1:14">
      <c r="A43" s="3480" t="s">
        <v>3322</v>
      </c>
      <c r="B43" s="3480" t="s">
        <v>3222</v>
      </c>
      <c r="C43" s="3480" t="s">
        <v>3223</v>
      </c>
      <c r="D43" s="3480">
        <v>15714.5</v>
      </c>
      <c r="E43" s="3480">
        <v>28286.1</v>
      </c>
      <c r="F43" s="3480">
        <v>1.8</v>
      </c>
      <c r="G43" s="3480" t="s">
        <v>3224</v>
      </c>
      <c r="H43" s="3480" t="s">
        <v>3323</v>
      </c>
      <c r="I43" s="3480">
        <v>7955</v>
      </c>
      <c r="J43" s="3480">
        <v>7955</v>
      </c>
      <c r="K43" s="3480">
        <f t="shared" si="0"/>
        <v>2812</v>
      </c>
      <c r="L43" s="3480">
        <v>2812.34</v>
      </c>
      <c r="M43" s="3480">
        <v>0</v>
      </c>
      <c r="N43" s="3480" t="s">
        <v>3324</v>
      </c>
    </row>
    <row r="44" spans="1:14">
      <c r="A44" s="3480" t="s">
        <v>3325</v>
      </c>
      <c r="B44" s="3480" t="s">
        <v>3222</v>
      </c>
      <c r="C44" s="3480" t="s">
        <v>3223</v>
      </c>
      <c r="D44" s="3480">
        <v>35450.6</v>
      </c>
      <c r="E44" s="3480">
        <v>88626.5</v>
      </c>
      <c r="F44" s="3480">
        <v>2.5</v>
      </c>
      <c r="G44" s="3480" t="s">
        <v>3224</v>
      </c>
      <c r="H44" s="3480" t="s">
        <v>3326</v>
      </c>
      <c r="I44" s="3480">
        <v>14978</v>
      </c>
      <c r="J44" s="3480">
        <v>14978</v>
      </c>
      <c r="K44" s="3480">
        <f t="shared" si="0"/>
        <v>1690</v>
      </c>
      <c r="L44" s="3480">
        <v>1690</v>
      </c>
      <c r="M44" s="3480">
        <v>0</v>
      </c>
      <c r="N44" s="3480" t="s">
        <v>3327</v>
      </c>
    </row>
    <row r="45" spans="1:14">
      <c r="A45" s="3480" t="s">
        <v>3328</v>
      </c>
      <c r="B45" s="3480" t="s">
        <v>3222</v>
      </c>
      <c r="C45" s="3480" t="s">
        <v>3223</v>
      </c>
      <c r="D45" s="3480">
        <v>48706.8</v>
      </c>
      <c r="E45" s="3480">
        <v>97413.6</v>
      </c>
      <c r="F45" s="3480">
        <v>2</v>
      </c>
      <c r="G45" s="3480" t="s">
        <v>3224</v>
      </c>
      <c r="H45" s="3480" t="s">
        <v>3329</v>
      </c>
      <c r="I45" s="3480">
        <v>17077</v>
      </c>
      <c r="J45" s="3480">
        <v>17077</v>
      </c>
      <c r="K45" s="3480">
        <f t="shared" si="0"/>
        <v>1753</v>
      </c>
      <c r="L45" s="3480">
        <v>1753.03</v>
      </c>
      <c r="M45" s="3480">
        <v>0</v>
      </c>
      <c r="N45" s="3480" t="s">
        <v>3330</v>
      </c>
    </row>
  </sheetData>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661" t="s">
        <v>523</v>
      </c>
      <c r="D6" s="3662"/>
      <c r="E6" s="3695" t="s">
        <v>524</v>
      </c>
      <c r="F6" s="3696"/>
      <c r="G6" s="3661" t="s">
        <v>525</v>
      </c>
      <c r="H6" s="3662"/>
      <c r="I6" s="3661" t="s">
        <v>526</v>
      </c>
      <c r="J6" s="3662"/>
      <c r="K6" s="514" t="s">
        <v>527</v>
      </c>
      <c r="L6" s="2135"/>
      <c r="M6" s="2136"/>
      <c r="N6" s="2136"/>
      <c r="O6" s="2136"/>
      <c r="P6" s="3663" t="s">
        <v>528</v>
      </c>
      <c r="Q6" s="3664"/>
      <c r="R6" s="3669" t="s">
        <v>524</v>
      </c>
      <c r="S6" s="3670"/>
      <c r="T6" s="3669" t="s">
        <v>525</v>
      </c>
      <c r="U6" s="3670"/>
      <c r="V6" s="3656" t="s">
        <v>526</v>
      </c>
      <c r="W6" s="3656"/>
      <c r="X6" s="1568"/>
      <c r="Y6" s="3669" t="s">
        <v>528</v>
      </c>
      <c r="Z6" s="3670"/>
      <c r="AA6" s="3658" t="s">
        <v>524</v>
      </c>
      <c r="AB6" s="3659" t="s">
        <v>525</v>
      </c>
      <c r="AC6" s="3658" t="s">
        <v>526</v>
      </c>
    </row>
    <row r="7" spans="1:29" ht="15">
      <c r="A7" s="515"/>
      <c r="B7" s="516"/>
      <c r="C7" s="3677" t="s">
        <v>2938</v>
      </c>
      <c r="D7" s="3678"/>
      <c r="E7" s="3697" t="s">
        <v>2939</v>
      </c>
      <c r="F7" s="3698"/>
      <c r="G7" s="3677" t="s">
        <v>2940</v>
      </c>
      <c r="H7" s="3678"/>
      <c r="I7" s="3677" t="s">
        <v>2941</v>
      </c>
      <c r="J7" s="3678"/>
      <c r="K7" s="514"/>
      <c r="L7" s="2135"/>
      <c r="M7" s="2136"/>
      <c r="N7" s="2136"/>
      <c r="O7" s="2136"/>
      <c r="P7" s="3665"/>
      <c r="Q7" s="3666"/>
      <c r="R7" s="3671"/>
      <c r="S7" s="3672"/>
      <c r="T7" s="3671"/>
      <c r="U7" s="3672"/>
      <c r="V7" s="3656"/>
      <c r="W7" s="3656"/>
      <c r="X7" s="1568"/>
      <c r="Y7" s="3671"/>
      <c r="Z7" s="3672"/>
      <c r="AA7" s="3659"/>
      <c r="AB7" s="3659"/>
      <c r="AC7" s="3659"/>
    </row>
    <row r="8" spans="1:29" ht="15.75" thickBot="1">
      <c r="A8" s="517"/>
      <c r="B8" s="518"/>
      <c r="C8" s="3675" t="s">
        <v>2942</v>
      </c>
      <c r="D8" s="3676"/>
      <c r="E8" s="3693" t="s">
        <v>2942</v>
      </c>
      <c r="F8" s="3694"/>
      <c r="G8" s="3675" t="s">
        <v>2942</v>
      </c>
      <c r="H8" s="3676"/>
      <c r="I8" s="3675" t="s">
        <v>2942</v>
      </c>
      <c r="J8" s="3676"/>
      <c r="K8" s="514" t="s">
        <v>529</v>
      </c>
      <c r="L8" s="2135"/>
      <c r="M8" s="2136"/>
      <c r="N8" s="2136"/>
      <c r="O8" s="2136"/>
      <c r="P8" s="3667"/>
      <c r="Q8" s="3668"/>
      <c r="R8" s="3671"/>
      <c r="S8" s="3672"/>
      <c r="T8" s="3673"/>
      <c r="U8" s="3674"/>
      <c r="V8" s="3656"/>
      <c r="W8" s="3656"/>
      <c r="X8" s="1568"/>
      <c r="Y8" s="3673"/>
      <c r="Z8" s="3674"/>
      <c r="AA8" s="3660"/>
      <c r="AB8" s="3660"/>
      <c r="AC8" s="3660"/>
    </row>
    <row r="9" spans="1:29" s="1220" customFormat="1" ht="15.75" thickBot="1">
      <c r="A9" s="2939"/>
      <c r="B9" s="2946" t="s">
        <v>530</v>
      </c>
      <c r="C9" s="519">
        <f>'数据-取费表'!B2</f>
        <v>43174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86" t="s">
        <v>531</v>
      </c>
      <c r="Q9" s="3688"/>
      <c r="R9" s="1569" t="s">
        <v>8</v>
      </c>
      <c r="S9" s="1570">
        <f t="shared" ref="S9:S17" si="0">F9</f>
        <v>0</v>
      </c>
      <c r="T9" s="1569" t="s">
        <v>8</v>
      </c>
      <c r="U9" s="1570">
        <f t="shared" ref="U9:U17" si="1">H9</f>
        <v>0</v>
      </c>
      <c r="V9" s="1569" t="s">
        <v>8</v>
      </c>
      <c r="W9" s="1570">
        <f t="shared" ref="W9:W17" si="2">J9</f>
        <v>0</v>
      </c>
      <c r="X9" s="1571"/>
      <c r="Y9" s="3686" t="s">
        <v>531</v>
      </c>
      <c r="Z9" s="3687"/>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86" t="s">
        <v>534</v>
      </c>
      <c r="Q10" s="3687"/>
      <c r="R10" s="1569" t="s">
        <v>8</v>
      </c>
      <c r="S10" s="1570">
        <f t="shared" si="0"/>
        <v>0</v>
      </c>
      <c r="T10" s="1569" t="s">
        <v>8</v>
      </c>
      <c r="U10" s="1570">
        <f t="shared" si="1"/>
        <v>0</v>
      </c>
      <c r="V10" s="1569" t="s">
        <v>8</v>
      </c>
      <c r="W10" s="1570">
        <f t="shared" si="2"/>
        <v>0</v>
      </c>
      <c r="X10" s="1571"/>
      <c r="Y10" s="3686" t="s">
        <v>534</v>
      </c>
      <c r="Z10" s="3687"/>
      <c r="AA10" s="1572" t="e">
        <f t="shared" ref="AA10:AA42" si="3">D10/F10</f>
        <v>#DIV/0!</v>
      </c>
      <c r="AB10" s="1572" t="e">
        <f t="shared" ref="AB10:AB42" si="4">D10/H10</f>
        <v>#DIV/0!</v>
      </c>
      <c r="AC10" s="1572" t="e">
        <f t="shared" ref="AC10:AC42" si="5">D10/J10</f>
        <v>#DIV/0!</v>
      </c>
    </row>
    <row r="11" spans="1:29" s="1220" customFormat="1" ht="15">
      <c r="A11" s="2941"/>
      <c r="B11" s="2948" t="s">
        <v>2763</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55" t="s">
        <v>536</v>
      </c>
      <c r="Q11" s="1151" t="str">
        <f t="shared" ref="Q11:Q17" si="6">B11</f>
        <v>用途</v>
      </c>
      <c r="R11" s="1569" t="s">
        <v>8</v>
      </c>
      <c r="S11" s="1570">
        <f t="shared" si="0"/>
        <v>100</v>
      </c>
      <c r="T11" s="1569" t="s">
        <v>8</v>
      </c>
      <c r="U11" s="1570">
        <f t="shared" si="1"/>
        <v>100</v>
      </c>
      <c r="V11" s="1569" t="s">
        <v>8</v>
      </c>
      <c r="W11" s="1570">
        <f t="shared" si="2"/>
        <v>100</v>
      </c>
      <c r="X11" s="1571"/>
      <c r="Y11" s="3601" t="s">
        <v>537</v>
      </c>
      <c r="Z11" s="1150" t="str">
        <f t="shared" ref="Z11:Z17" si="7">Q11</f>
        <v>用途</v>
      </c>
      <c r="AA11" s="1572">
        <f t="shared" si="3"/>
        <v>1</v>
      </c>
      <c r="AB11" s="1572">
        <f t="shared" si="4"/>
        <v>1</v>
      </c>
      <c r="AC11" s="1572">
        <f t="shared" si="5"/>
        <v>1</v>
      </c>
    </row>
    <row r="12" spans="1:29" s="1338" customFormat="1" ht="27">
      <c r="A12" s="2942"/>
      <c r="B12" s="2947" t="s">
        <v>2764</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655"/>
      <c r="Q12" s="1151" t="str">
        <f t="shared" si="6"/>
        <v>土地使用年限（年）</v>
      </c>
      <c r="R12" s="1569" t="s">
        <v>8</v>
      </c>
      <c r="S12" s="1570">
        <f t="shared" si="0"/>
        <v>101</v>
      </c>
      <c r="T12" s="1569" t="s">
        <v>8</v>
      </c>
      <c r="U12" s="1570">
        <f t="shared" si="1"/>
        <v>101</v>
      </c>
      <c r="V12" s="1569" t="s">
        <v>8</v>
      </c>
      <c r="W12" s="1570">
        <f t="shared" si="2"/>
        <v>101</v>
      </c>
      <c r="X12" s="1571"/>
      <c r="Y12" s="3601"/>
      <c r="Z12" s="1150" t="str">
        <f t="shared" si="7"/>
        <v>土地使用年限（年）</v>
      </c>
      <c r="AA12" s="1572">
        <f t="shared" si="3"/>
        <v>0.99009900990099009</v>
      </c>
      <c r="AB12" s="1572">
        <f t="shared" si="4"/>
        <v>0.99009900990099009</v>
      </c>
      <c r="AC12" s="1572">
        <f t="shared" si="5"/>
        <v>0.99009900990099009</v>
      </c>
    </row>
    <row r="13" spans="1:29" ht="15">
      <c r="A13" s="2943"/>
      <c r="B13" s="2947"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55"/>
      <c r="Q13" s="1151" t="str">
        <f t="shared" si="6"/>
        <v>容积率</v>
      </c>
      <c r="R13" s="1569" t="s">
        <v>8</v>
      </c>
      <c r="S13" s="1570" t="e">
        <f t="shared" si="0"/>
        <v>#N/A</v>
      </c>
      <c r="T13" s="1569" t="s">
        <v>8</v>
      </c>
      <c r="U13" s="1570" t="e">
        <f t="shared" si="1"/>
        <v>#N/A</v>
      </c>
      <c r="V13" s="1569" t="s">
        <v>8</v>
      </c>
      <c r="W13" s="1570" t="e">
        <f t="shared" si="2"/>
        <v>#N/A</v>
      </c>
      <c r="X13" s="1571"/>
      <c r="Y13" s="3601"/>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55"/>
      <c r="Q14" s="1151">
        <f t="shared" si="6"/>
        <v>111</v>
      </c>
      <c r="R14" s="1569" t="s">
        <v>8</v>
      </c>
      <c r="S14" s="1570">
        <f t="shared" si="0"/>
        <v>100</v>
      </c>
      <c r="T14" s="1569" t="s">
        <v>8</v>
      </c>
      <c r="U14" s="1570">
        <f t="shared" si="1"/>
        <v>100</v>
      </c>
      <c r="V14" s="1569" t="s">
        <v>8</v>
      </c>
      <c r="W14" s="1570">
        <f t="shared" si="2"/>
        <v>100</v>
      </c>
      <c r="X14" s="1571"/>
      <c r="Y14" s="3601"/>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55"/>
      <c r="Q15" s="1151">
        <f t="shared" si="6"/>
        <v>111</v>
      </c>
      <c r="R15" s="1569" t="s">
        <v>8</v>
      </c>
      <c r="S15" s="1570">
        <f t="shared" si="0"/>
        <v>100</v>
      </c>
      <c r="T15" s="1569" t="s">
        <v>8</v>
      </c>
      <c r="U15" s="1570">
        <f t="shared" si="1"/>
        <v>100</v>
      </c>
      <c r="V15" s="1569" t="s">
        <v>8</v>
      </c>
      <c r="W15" s="1570">
        <f t="shared" si="2"/>
        <v>100</v>
      </c>
      <c r="X15" s="1571"/>
      <c r="Y15" s="3601"/>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55"/>
      <c r="Q16" s="1151">
        <f t="shared" si="6"/>
        <v>111</v>
      </c>
      <c r="R16" s="1569" t="s">
        <v>8</v>
      </c>
      <c r="S16" s="1570">
        <f t="shared" si="0"/>
        <v>100</v>
      </c>
      <c r="T16" s="1569" t="s">
        <v>8</v>
      </c>
      <c r="U16" s="1570">
        <f t="shared" si="1"/>
        <v>100</v>
      </c>
      <c r="V16" s="1569" t="s">
        <v>8</v>
      </c>
      <c r="W16" s="1570">
        <f t="shared" si="2"/>
        <v>100</v>
      </c>
      <c r="X16" s="1571"/>
      <c r="Y16" s="3601"/>
      <c r="Z16" s="1150">
        <f t="shared" si="7"/>
        <v>111</v>
      </c>
      <c r="AA16" s="1572">
        <f t="shared" si="3"/>
        <v>1</v>
      </c>
      <c r="AB16" s="1572">
        <f t="shared" si="4"/>
        <v>1</v>
      </c>
      <c r="AC16" s="1572">
        <f t="shared" si="5"/>
        <v>1</v>
      </c>
    </row>
    <row r="17" spans="1:29" ht="57">
      <c r="A17" s="2937"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689" t="s">
        <v>541</v>
      </c>
      <c r="Q17" s="1573" t="str">
        <f t="shared" si="6"/>
        <v>产业集聚程度</v>
      </c>
      <c r="R17" s="1574" t="s">
        <v>8</v>
      </c>
      <c r="S17" s="1575">
        <f t="shared" si="0"/>
        <v>100</v>
      </c>
      <c r="T17" s="1574" t="s">
        <v>8</v>
      </c>
      <c r="U17" s="1575">
        <f t="shared" si="1"/>
        <v>100</v>
      </c>
      <c r="V17" s="1574" t="s">
        <v>8</v>
      </c>
      <c r="W17" s="1575">
        <f t="shared" si="2"/>
        <v>100</v>
      </c>
      <c r="X17" s="1568"/>
      <c r="Y17" s="3689"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690"/>
      <c r="Q18" s="1573"/>
      <c r="R18" s="1574"/>
      <c r="S18" s="1575"/>
      <c r="T18" s="1574"/>
      <c r="U18" s="1575"/>
      <c r="V18" s="1574"/>
      <c r="W18" s="1575"/>
      <c r="X18" s="1568"/>
      <c r="Y18" s="3690"/>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690"/>
      <c r="Q19" s="1573" t="str">
        <f>B19</f>
        <v>交通便捷度</v>
      </c>
      <c r="R19" s="1574" t="s">
        <v>8</v>
      </c>
      <c r="S19" s="1575">
        <f>F19</f>
        <v>100</v>
      </c>
      <c r="T19" s="1574" t="s">
        <v>8</v>
      </c>
      <c r="U19" s="1575">
        <f>H19</f>
        <v>100</v>
      </c>
      <c r="V19" s="1574" t="s">
        <v>8</v>
      </c>
      <c r="W19" s="1575">
        <f>J19</f>
        <v>100</v>
      </c>
      <c r="X19" s="1568"/>
      <c r="Y19" s="369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690"/>
      <c r="Q20" s="1573"/>
      <c r="R20" s="1574"/>
      <c r="S20" s="1575"/>
      <c r="T20" s="1574"/>
      <c r="U20" s="1575"/>
      <c r="V20" s="1574"/>
      <c r="W20" s="1575"/>
      <c r="X20" s="1568"/>
      <c r="Y20" s="3690"/>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690"/>
      <c r="Q21" s="1573" t="str">
        <f t="shared" ref="Q21:Q35" si="8">B21</f>
        <v>区域土地利用方向</v>
      </c>
      <c r="R21" s="1574" t="s">
        <v>8</v>
      </c>
      <c r="S21" s="1575">
        <f>F21</f>
        <v>100</v>
      </c>
      <c r="T21" s="1574" t="s">
        <v>8</v>
      </c>
      <c r="U21" s="1575">
        <f>H21</f>
        <v>100</v>
      </c>
      <c r="V21" s="1574" t="s">
        <v>8</v>
      </c>
      <c r="W21" s="1575">
        <f>J21</f>
        <v>100</v>
      </c>
      <c r="X21" s="1568"/>
      <c r="Y21" s="369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690"/>
      <c r="Q22" s="1573"/>
      <c r="R22" s="1574"/>
      <c r="S22" s="1575"/>
      <c r="T22" s="1574"/>
      <c r="U22" s="1575"/>
      <c r="V22" s="1574"/>
      <c r="W22" s="1575"/>
      <c r="X22" s="1568"/>
      <c r="Y22" s="3690"/>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690"/>
      <c r="Q23" s="1573" t="str">
        <f t="shared" si="8"/>
        <v>环境状况</v>
      </c>
      <c r="R23" s="1574" t="s">
        <v>8</v>
      </c>
      <c r="S23" s="1575">
        <f>F23</f>
        <v>100</v>
      </c>
      <c r="T23" s="1574" t="s">
        <v>8</v>
      </c>
      <c r="U23" s="1575">
        <f>H23</f>
        <v>100</v>
      </c>
      <c r="V23" s="1574" t="s">
        <v>8</v>
      </c>
      <c r="W23" s="1575">
        <f>J23</f>
        <v>100</v>
      </c>
      <c r="X23" s="1568"/>
      <c r="Y23" s="369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690"/>
      <c r="Q24" s="1573"/>
      <c r="R24" s="1574"/>
      <c r="S24" s="1575"/>
      <c r="T24" s="1574"/>
      <c r="U24" s="1575"/>
      <c r="V24" s="1574"/>
      <c r="W24" s="1575"/>
      <c r="X24" s="1568"/>
      <c r="Y24" s="3690"/>
      <c r="Z24" s="1576"/>
      <c r="AA24" s="1577">
        <v>1</v>
      </c>
      <c r="AB24" s="1577">
        <v>1</v>
      </c>
      <c r="AC24" s="1577">
        <v>1</v>
      </c>
    </row>
    <row r="25" spans="1:29" s="1220" customFormat="1" ht="42.75">
      <c r="A25" s="577"/>
      <c r="B25" s="2619"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690"/>
      <c r="Q25" s="1151" t="str">
        <f t="shared" si="8"/>
        <v>公共配套设施</v>
      </c>
      <c r="R25" s="1569" t="s">
        <v>8</v>
      </c>
      <c r="S25" s="1570">
        <f>F25</f>
        <v>100</v>
      </c>
      <c r="T25" s="1569" t="s">
        <v>8</v>
      </c>
      <c r="U25" s="1570">
        <f>H25</f>
        <v>100</v>
      </c>
      <c r="V25" s="1569" t="s">
        <v>8</v>
      </c>
      <c r="W25" s="1570">
        <f>J25</f>
        <v>100</v>
      </c>
      <c r="X25" s="1571"/>
      <c r="Y25" s="3690"/>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690"/>
      <c r="Q26" s="1151"/>
      <c r="R26" s="1569"/>
      <c r="S26" s="1570"/>
      <c r="T26" s="1569"/>
      <c r="U26" s="1570"/>
      <c r="V26" s="1569"/>
      <c r="W26" s="1570"/>
      <c r="X26" s="1571"/>
      <c r="Y26" s="3690"/>
      <c r="Z26" s="1150"/>
      <c r="AA26" s="1572">
        <v>1</v>
      </c>
      <c r="AB26" s="1572">
        <v>1</v>
      </c>
      <c r="AC26" s="1572">
        <v>1</v>
      </c>
    </row>
    <row r="27" spans="1:29" s="1220" customFormat="1" ht="28.5">
      <c r="A27" s="577"/>
      <c r="B27" s="2619"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690"/>
      <c r="Q27" s="2604" t="str">
        <f t="shared" ref="Q27" si="9">B27</f>
        <v>基础设施水平</v>
      </c>
      <c r="R27" s="1569" t="s">
        <v>8</v>
      </c>
      <c r="S27" s="1570">
        <f>F27</f>
        <v>100</v>
      </c>
      <c r="T27" s="1569" t="s">
        <v>8</v>
      </c>
      <c r="U27" s="1570">
        <f>H27</f>
        <v>100</v>
      </c>
      <c r="V27" s="1569" t="s">
        <v>8</v>
      </c>
      <c r="W27" s="1570">
        <f>J27</f>
        <v>100</v>
      </c>
      <c r="X27" s="1571"/>
      <c r="Y27" s="3690"/>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690"/>
      <c r="Q28" s="2604"/>
      <c r="R28" s="1569"/>
      <c r="S28" s="1570"/>
      <c r="T28" s="1569"/>
      <c r="U28" s="1570"/>
      <c r="V28" s="1569"/>
      <c r="W28" s="1570"/>
      <c r="X28" s="1571"/>
      <c r="Y28" s="3690"/>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69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90"/>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690"/>
      <c r="Q30" s="1573" t="str">
        <f t="shared" si="8"/>
        <v>毗邻道路的类型与等级</v>
      </c>
      <c r="R30" s="1574" t="s">
        <v>8</v>
      </c>
      <c r="S30" s="1575">
        <f t="shared" si="10"/>
        <v>100</v>
      </c>
      <c r="T30" s="1574" t="s">
        <v>8</v>
      </c>
      <c r="U30" s="1575">
        <f t="shared" si="11"/>
        <v>100</v>
      </c>
      <c r="V30" s="1574" t="s">
        <v>8</v>
      </c>
      <c r="W30" s="1575">
        <f t="shared" si="12"/>
        <v>100</v>
      </c>
      <c r="X30" s="1568"/>
      <c r="Y30" s="3690"/>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690"/>
      <c r="Q31" s="1573"/>
      <c r="R31" s="1574"/>
      <c r="S31" s="1575"/>
      <c r="T31" s="1574"/>
      <c r="U31" s="1575"/>
      <c r="V31" s="1574"/>
      <c r="W31" s="1575"/>
      <c r="X31" s="1568"/>
      <c r="Y31" s="3690"/>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690"/>
      <c r="Q32" s="1573" t="str">
        <f t="shared" si="8"/>
        <v>土地级别</v>
      </c>
      <c r="R32" s="1574" t="s">
        <v>8</v>
      </c>
      <c r="S32" s="1575">
        <f t="shared" si="10"/>
        <v>100</v>
      </c>
      <c r="T32" s="1574" t="s">
        <v>8</v>
      </c>
      <c r="U32" s="1575">
        <f t="shared" si="11"/>
        <v>100</v>
      </c>
      <c r="V32" s="1574" t="s">
        <v>8</v>
      </c>
      <c r="W32" s="1575">
        <f t="shared" si="12"/>
        <v>100</v>
      </c>
      <c r="X32" s="1568"/>
      <c r="Y32" s="369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690"/>
      <c r="Q33" s="1573">
        <f t="shared" si="8"/>
        <v>111</v>
      </c>
      <c r="R33" s="1574" t="s">
        <v>8</v>
      </c>
      <c r="S33" s="1575">
        <f t="shared" si="10"/>
        <v>100</v>
      </c>
      <c r="T33" s="1574" t="s">
        <v>8</v>
      </c>
      <c r="U33" s="1575">
        <f t="shared" si="11"/>
        <v>100</v>
      </c>
      <c r="V33" s="1574" t="s">
        <v>8</v>
      </c>
      <c r="W33" s="1575">
        <f t="shared" si="12"/>
        <v>100</v>
      </c>
      <c r="X33" s="1568"/>
      <c r="Y33" s="369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691" t="s">
        <v>551</v>
      </c>
      <c r="Q34" s="1573">
        <f t="shared" si="8"/>
        <v>111</v>
      </c>
      <c r="R34" s="1574" t="s">
        <v>8</v>
      </c>
      <c r="S34" s="1575">
        <f t="shared" si="10"/>
        <v>100</v>
      </c>
      <c r="T34" s="1574" t="s">
        <v>8</v>
      </c>
      <c r="U34" s="1575">
        <f t="shared" si="11"/>
        <v>100</v>
      </c>
      <c r="V34" s="1574" t="s">
        <v>8</v>
      </c>
      <c r="W34" s="1575">
        <f t="shared" si="12"/>
        <v>100</v>
      </c>
      <c r="X34" s="1568"/>
      <c r="Y34" s="3692"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692"/>
      <c r="Q35" s="1573">
        <f t="shared" si="8"/>
        <v>111</v>
      </c>
      <c r="R35" s="1578" t="s">
        <v>8</v>
      </c>
      <c r="S35" s="1579">
        <f t="shared" si="10"/>
        <v>100</v>
      </c>
      <c r="T35" s="1578" t="s">
        <v>8</v>
      </c>
      <c r="U35" s="1579">
        <f t="shared" si="11"/>
        <v>100</v>
      </c>
      <c r="V35" s="1578" t="s">
        <v>8</v>
      </c>
      <c r="W35" s="1579">
        <f t="shared" si="12"/>
        <v>100</v>
      </c>
      <c r="X35" s="1580"/>
      <c r="Y35" s="3692"/>
      <c r="Z35" s="1581">
        <f t="shared" si="13"/>
        <v>111</v>
      </c>
      <c r="AA35" s="1577">
        <f t="shared" si="3"/>
        <v>1</v>
      </c>
      <c r="AB35" s="1577">
        <f t="shared" si="4"/>
        <v>1</v>
      </c>
      <c r="AC35" s="1577">
        <f t="shared" si="5"/>
        <v>1</v>
      </c>
    </row>
    <row r="36" spans="1:29" ht="15">
      <c r="A36" s="2934"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692"/>
      <c r="Q36" s="1573" t="str">
        <f>B36</f>
        <v>宗地面积</v>
      </c>
      <c r="R36" s="1574" t="s">
        <v>8</v>
      </c>
      <c r="S36" s="1575" t="e">
        <f t="shared" si="10"/>
        <v>#N/A</v>
      </c>
      <c r="T36" s="1574" t="s">
        <v>8</v>
      </c>
      <c r="U36" s="1575" t="e">
        <f t="shared" si="11"/>
        <v>#N/A</v>
      </c>
      <c r="V36" s="1574" t="s">
        <v>8</v>
      </c>
      <c r="W36" s="1575" t="e">
        <f t="shared" si="12"/>
        <v>#N/A</v>
      </c>
      <c r="X36" s="1568"/>
      <c r="Y36" s="3692"/>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692"/>
      <c r="Q37" s="1573" t="str">
        <f t="shared" ref="Q37:Q42" si="14">B37</f>
        <v>宗地形状</v>
      </c>
      <c r="R37" s="1574" t="s">
        <v>8</v>
      </c>
      <c r="S37" s="1575">
        <f t="shared" si="10"/>
        <v>100</v>
      </c>
      <c r="T37" s="1574" t="s">
        <v>8</v>
      </c>
      <c r="U37" s="1575">
        <f t="shared" si="11"/>
        <v>100</v>
      </c>
      <c r="V37" s="1574" t="s">
        <v>8</v>
      </c>
      <c r="W37" s="1575">
        <f t="shared" si="12"/>
        <v>100</v>
      </c>
      <c r="X37" s="1568"/>
      <c r="Y37" s="3692"/>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692"/>
      <c r="Q38" s="1573" t="str">
        <f t="shared" si="14"/>
        <v>宗地开发程度</v>
      </c>
      <c r="R38" s="1569" t="s">
        <v>8</v>
      </c>
      <c r="S38" s="1570">
        <f t="shared" si="10"/>
        <v>100</v>
      </c>
      <c r="T38" s="1569" t="s">
        <v>8</v>
      </c>
      <c r="U38" s="1570">
        <f t="shared" si="11"/>
        <v>100</v>
      </c>
      <c r="V38" s="1569" t="s">
        <v>8</v>
      </c>
      <c r="W38" s="1570">
        <f t="shared" si="12"/>
        <v>100</v>
      </c>
      <c r="X38" s="1571"/>
      <c r="Y38" s="3692"/>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92" t="s">
        <v>602</v>
      </c>
      <c r="Q39" s="1573" t="str">
        <f t="shared" si="14"/>
        <v>工程地质条件</v>
      </c>
      <c r="R39" s="1574" t="s">
        <v>8</v>
      </c>
      <c r="S39" s="1575">
        <f t="shared" si="10"/>
        <v>100</v>
      </c>
      <c r="T39" s="1574" t="s">
        <v>8</v>
      </c>
      <c r="U39" s="1575">
        <f t="shared" si="11"/>
        <v>100</v>
      </c>
      <c r="V39" s="1574" t="s">
        <v>8</v>
      </c>
      <c r="W39" s="1575">
        <f t="shared" si="12"/>
        <v>100</v>
      </c>
      <c r="X39" s="1568"/>
      <c r="Y39" s="3692"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692"/>
      <c r="Q40" s="1573">
        <f t="shared" si="14"/>
        <v>111</v>
      </c>
      <c r="R40" s="1574" t="s">
        <v>8</v>
      </c>
      <c r="S40" s="1575">
        <f t="shared" si="10"/>
        <v>100</v>
      </c>
      <c r="T40" s="1574" t="s">
        <v>8</v>
      </c>
      <c r="U40" s="1575">
        <f t="shared" si="11"/>
        <v>100</v>
      </c>
      <c r="V40" s="1574" t="s">
        <v>8</v>
      </c>
      <c r="W40" s="1575">
        <f t="shared" si="12"/>
        <v>100</v>
      </c>
      <c r="X40" s="1568"/>
      <c r="Y40" s="369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692"/>
      <c r="Q41" s="1573">
        <f t="shared" si="14"/>
        <v>111</v>
      </c>
      <c r="R41" s="1574" t="s">
        <v>8</v>
      </c>
      <c r="S41" s="1575">
        <f t="shared" si="10"/>
        <v>100</v>
      </c>
      <c r="T41" s="1574" t="s">
        <v>8</v>
      </c>
      <c r="U41" s="1575">
        <f t="shared" si="11"/>
        <v>100</v>
      </c>
      <c r="V41" s="1574" t="s">
        <v>8</v>
      </c>
      <c r="W41" s="1575">
        <f t="shared" si="12"/>
        <v>100</v>
      </c>
      <c r="X41" s="1568"/>
      <c r="Y41" s="369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692"/>
      <c r="Q42" s="1573">
        <f t="shared" si="14"/>
        <v>111</v>
      </c>
      <c r="R42" s="1578" t="s">
        <v>8</v>
      </c>
      <c r="S42" s="1579">
        <f t="shared" si="10"/>
        <v>100</v>
      </c>
      <c r="T42" s="1578" t="s">
        <v>8</v>
      </c>
      <c r="U42" s="1579">
        <f t="shared" si="11"/>
        <v>100</v>
      </c>
      <c r="V42" s="1578" t="s">
        <v>8</v>
      </c>
      <c r="W42" s="1579">
        <f t="shared" si="12"/>
        <v>100</v>
      </c>
      <c r="X42" s="1580"/>
      <c r="Y42" s="3692"/>
      <c r="Z42" s="1581">
        <f t="shared" si="13"/>
        <v>111</v>
      </c>
      <c r="AA42" s="1577">
        <f t="shared" si="3"/>
        <v>1</v>
      </c>
      <c r="AB42" s="1577">
        <f t="shared" si="4"/>
        <v>1</v>
      </c>
      <c r="AC42" s="1577">
        <f t="shared" si="5"/>
        <v>1</v>
      </c>
    </row>
    <row r="43" spans="1:29" ht="15">
      <c r="A43" s="607" t="s">
        <v>557</v>
      </c>
      <c r="B43" s="608" t="s">
        <v>2943</v>
      </c>
      <c r="C43" s="609" t="s">
        <v>1</v>
      </c>
      <c r="D43" s="610"/>
      <c r="E43" s="611"/>
      <c r="F43" s="612"/>
      <c r="G43" s="613"/>
      <c r="H43" s="614"/>
      <c r="I43" s="611"/>
      <c r="J43" s="614"/>
      <c r="K43" s="1340"/>
      <c r="L43" s="2146"/>
      <c r="M43" s="2136"/>
      <c r="N43" s="2136"/>
      <c r="O43" s="2147"/>
      <c r="P43" s="3655" t="str">
        <f>A43</f>
        <v>成交单价</v>
      </c>
      <c r="Q43" s="3655"/>
      <c r="R43" s="3656">
        <f>E43</f>
        <v>0</v>
      </c>
      <c r="S43" s="3656"/>
      <c r="T43" s="3656">
        <f>G43</f>
        <v>0</v>
      </c>
      <c r="U43" s="3656"/>
      <c r="V43" s="3656">
        <f>I43</f>
        <v>0</v>
      </c>
      <c r="W43" s="3656"/>
      <c r="X43" s="1560"/>
      <c r="Y43" s="1582"/>
      <c r="Z43" s="1560"/>
      <c r="AA43" s="1560"/>
      <c r="AB43" s="1560"/>
      <c r="AC43" s="1560"/>
    </row>
    <row r="44" spans="1:29" ht="15.75" thickBot="1">
      <c r="A44" s="615" t="s">
        <v>2700</v>
      </c>
      <c r="B44" s="616"/>
      <c r="C44" s="617" t="e">
        <f>R45</f>
        <v>#DIV/0!</v>
      </c>
      <c r="D44" s="618"/>
      <c r="E44" s="617" t="e">
        <f>R44</f>
        <v>#DIV/0!</v>
      </c>
      <c r="F44" s="619"/>
      <c r="G44" s="620" t="e">
        <f>T44</f>
        <v>#DIV/0!</v>
      </c>
      <c r="H44" s="618"/>
      <c r="I44" s="617" t="e">
        <f>V44</f>
        <v>#DIV/0!</v>
      </c>
      <c r="J44" s="618"/>
      <c r="K44" s="1341"/>
      <c r="L44" s="2146"/>
      <c r="M44" s="2136"/>
      <c r="N44" s="2136"/>
      <c r="O44" s="2147"/>
      <c r="P44" s="3655" t="str">
        <f>A44</f>
        <v>比较价格（元/平方米）</v>
      </c>
      <c r="Q44" s="3655"/>
      <c r="R44" s="3657" t="e">
        <f>ROUND(PRODUCT(R43,AA9:AA42),0)</f>
        <v>#DIV/0!</v>
      </c>
      <c r="S44" s="3657"/>
      <c r="T44" s="3657" t="e">
        <f>ROUND(PRODUCT(T43,AB9:AB42),0)</f>
        <v>#DIV/0!</v>
      </c>
      <c r="U44" s="3657"/>
      <c r="V44" s="3657" t="e">
        <f>ROUND(PRODUCT(V43,AC9:AC42),0)</f>
        <v>#DIV/0!</v>
      </c>
      <c r="W44" s="3657"/>
      <c r="X44" s="1560"/>
      <c r="Y44" s="1560"/>
      <c r="Z44" s="1560"/>
      <c r="AA44" s="1560"/>
      <c r="AB44" s="1560"/>
      <c r="AC44" s="1560"/>
    </row>
    <row r="45" spans="1:29" ht="15.75" thickBot="1">
      <c r="A45" s="621" t="s">
        <v>2944</v>
      </c>
      <c r="B45" s="622"/>
      <c r="C45" s="623" t="e">
        <f>R45</f>
        <v>#DIV/0!</v>
      </c>
      <c r="D45" s="623"/>
      <c r="E45" s="623"/>
      <c r="F45" s="623"/>
      <c r="G45" s="623"/>
      <c r="H45" s="623"/>
      <c r="I45" s="623"/>
      <c r="J45" s="623"/>
      <c r="K45" s="1342"/>
      <c r="L45" s="2146"/>
      <c r="M45" s="2136"/>
      <c r="N45" s="2136"/>
      <c r="O45" s="2147"/>
      <c r="P45" s="3652" t="str">
        <f>A45</f>
        <v>估价对象XX用房的比较价格（楼面单价，元/平方米）</v>
      </c>
      <c r="Q45" s="3653"/>
      <c r="R45" s="3654" t="e">
        <f>ROUND(AVERAGE(R44:V44),0)</f>
        <v>#DIV/0!</v>
      </c>
      <c r="S45" s="3654"/>
      <c r="T45" s="3654"/>
      <c r="U45" s="3654"/>
      <c r="V45" s="3654"/>
      <c r="W45" s="3654"/>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699" t="s">
        <v>2288</v>
      </c>
      <c r="H52" s="3700"/>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87282</v>
      </c>
      <c r="F53" s="1952" t="e">
        <f t="shared" ref="F53:F62" si="15">ROUND(B53*E53/10000,0)</f>
        <v>#DIV/0!</v>
      </c>
      <c r="G53" s="3701"/>
      <c r="H53" s="370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703"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70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70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70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72735</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2656</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2557</v>
      </c>
      <c r="C95" s="2624" t="s">
        <v>2558</v>
      </c>
      <c r="D95" s="2624" t="s">
        <v>2559</v>
      </c>
      <c r="E95" s="2624" t="s">
        <v>2560</v>
      </c>
      <c r="F95" s="2624" t="s">
        <v>2561</v>
      </c>
      <c r="G95" s="2624"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3" t="s">
        <v>2769</v>
      </c>
      <c r="S1" s="2963" t="s">
        <v>2770</v>
      </c>
      <c r="T1" s="2963" t="s">
        <v>2791</v>
      </c>
      <c r="U1" s="2963" t="s">
        <v>2792</v>
      </c>
      <c r="V1" s="2963" t="s">
        <v>2793</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2945</v>
      </c>
      <c r="G3" s="1039">
        <f>IF(F3="宗地容积率",'数据-汇总表'!I4,IF(F3="估价对象容积率",'数据-汇总表'!I6,'数据-汇总表'!I7))</f>
        <v>1.2</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713"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2772</v>
      </c>
      <c r="X7" s="2954">
        <f>G2</f>
        <v>0</v>
      </c>
      <c r="Y7" s="2954" t="s">
        <v>2773</v>
      </c>
      <c r="Z7" s="2955">
        <f>G3</f>
        <v>1.2</v>
      </c>
      <c r="AA7" s="2194"/>
      <c r="AB7" s="2194"/>
      <c r="AC7" s="2195"/>
      <c r="AD7" s="2956"/>
      <c r="AE7" s="2956"/>
      <c r="AF7" s="2956"/>
      <c r="AG7" s="2956"/>
      <c r="AH7" s="2956"/>
      <c r="AI7" s="2956"/>
      <c r="AJ7" s="2957"/>
    </row>
    <row r="8" spans="1:39" ht="15">
      <c r="A8" s="3714"/>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705" t="s">
        <v>2790</v>
      </c>
      <c r="X8" s="3706"/>
      <c r="Y8" s="1851" t="s">
        <v>2774</v>
      </c>
      <c r="Z8" s="1851" t="s">
        <v>2775</v>
      </c>
      <c r="AA8" s="1851" t="s">
        <v>2776</v>
      </c>
      <c r="AB8" s="1851" t="s">
        <v>2777</v>
      </c>
      <c r="AC8" s="1851" t="s">
        <v>2778</v>
      </c>
      <c r="AD8" s="1851" t="s">
        <v>2779</v>
      </c>
      <c r="AE8" s="1851" t="s">
        <v>2780</v>
      </c>
      <c r="AF8" s="1851" t="s">
        <v>2781</v>
      </c>
      <c r="AG8" s="1851" t="s">
        <v>2782</v>
      </c>
      <c r="AH8" s="1851" t="s">
        <v>2783</v>
      </c>
      <c r="AI8" s="1851" t="s">
        <v>2784</v>
      </c>
      <c r="AJ8" s="1851" t="s">
        <v>2785</v>
      </c>
    </row>
    <row r="9" spans="1:39" ht="15">
      <c r="A9" s="3714"/>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704" t="s">
        <v>2786</v>
      </c>
      <c r="X9" s="2958" t="s">
        <v>2787</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14"/>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704"/>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14"/>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704" t="s">
        <v>2788</v>
      </c>
      <c r="X11" s="1048" t="s">
        <v>2773</v>
      </c>
      <c r="Y11" s="1654">
        <f>$G$3</f>
        <v>1.2</v>
      </c>
      <c r="Z11" s="1654">
        <f t="shared" ref="Z11:AJ11" si="3">$G$3</f>
        <v>1.2</v>
      </c>
      <c r="AA11" s="1654">
        <f t="shared" si="3"/>
        <v>1.2</v>
      </c>
      <c r="AB11" s="1654">
        <f t="shared" si="3"/>
        <v>1.2</v>
      </c>
      <c r="AC11" s="1654">
        <f t="shared" si="3"/>
        <v>1.2</v>
      </c>
      <c r="AD11" s="1654">
        <f t="shared" si="3"/>
        <v>1.2</v>
      </c>
      <c r="AE11" s="1654">
        <f t="shared" si="3"/>
        <v>1.2</v>
      </c>
      <c r="AF11" s="1654">
        <f t="shared" si="3"/>
        <v>1.2</v>
      </c>
      <c r="AG11" s="1654">
        <f t="shared" si="3"/>
        <v>1.2</v>
      </c>
      <c r="AH11" s="1654">
        <f t="shared" si="3"/>
        <v>1.2</v>
      </c>
      <c r="AI11" s="1654">
        <f t="shared" si="3"/>
        <v>1.2</v>
      </c>
      <c r="AJ11" s="1654">
        <f t="shared" si="3"/>
        <v>1.2</v>
      </c>
    </row>
    <row r="12" spans="1:39" ht="25.5" thickBot="1">
      <c r="A12" s="3713"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704"/>
      <c r="X12" s="2961" t="s">
        <v>2789</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15"/>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4">
        <v>12</v>
      </c>
      <c r="S13" s="2953"/>
      <c r="T13" s="2964" t="e">
        <f t="shared" si="0"/>
        <v>#DIV/0!</v>
      </c>
      <c r="U13" s="2953"/>
      <c r="V13" s="2964" t="e">
        <f t="shared" si="1"/>
        <v>#DIV/0!</v>
      </c>
      <c r="W13" s="3704"/>
      <c r="X13" s="2961"/>
      <c r="Y13" s="2960">
        <f>(-0.163*(Y12^2)-0.59*Y12+7617)*(10^(-4))/Y11</f>
        <v>0.63475000000000004</v>
      </c>
      <c r="Z13" s="2960">
        <f t="shared" ref="Z13:AJ13" si="5">(-0.163*(Z12^2)-0.59*Z12+7617)*(10^(-4))/Z11</f>
        <v>0.63475000000000004</v>
      </c>
      <c r="AA13" s="2960">
        <f t="shared" si="5"/>
        <v>0.63475000000000004</v>
      </c>
      <c r="AB13" s="2960">
        <f t="shared" si="5"/>
        <v>0.63475000000000004</v>
      </c>
      <c r="AC13" s="2960">
        <f t="shared" si="5"/>
        <v>0.63475000000000004</v>
      </c>
      <c r="AD13" s="2960">
        <f t="shared" si="5"/>
        <v>0.63475000000000004</v>
      </c>
      <c r="AE13" s="2960">
        <f t="shared" si="5"/>
        <v>0.63475000000000004</v>
      </c>
      <c r="AF13" s="2960">
        <f t="shared" si="5"/>
        <v>0.63475000000000004</v>
      </c>
      <c r="AG13" s="2960">
        <f t="shared" si="5"/>
        <v>0.63475000000000004</v>
      </c>
      <c r="AH13" s="2960">
        <f t="shared" si="5"/>
        <v>0.63475000000000004</v>
      </c>
      <c r="AI13" s="2960">
        <f t="shared" si="5"/>
        <v>0.63475000000000004</v>
      </c>
      <c r="AJ13" s="2960">
        <f t="shared" si="5"/>
        <v>0.63475000000000004</v>
      </c>
    </row>
    <row r="14" spans="1:39" ht="12.75" customHeight="1" thickBot="1">
      <c r="A14" s="3715"/>
      <c r="B14" s="1452"/>
      <c r="C14" s="1453"/>
      <c r="D14" s="1454"/>
      <c r="E14" s="1454"/>
      <c r="F14" s="1455"/>
      <c r="G14" s="1456" t="s">
        <v>950</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716"/>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4">
        <v>14</v>
      </c>
      <c r="S15" s="2953"/>
      <c r="T15" s="2964" t="e">
        <f t="shared" si="0"/>
        <v>#DIV/0!</v>
      </c>
      <c r="U15" s="2953"/>
      <c r="V15" s="2964" t="e">
        <f t="shared" si="1"/>
        <v>#DIV/0!</v>
      </c>
      <c r="W15" s="2191"/>
      <c r="X15" s="2191"/>
      <c r="Y15" s="2191"/>
      <c r="Z15" s="2191"/>
      <c r="AA15" s="2191"/>
      <c r="AB15" s="2191"/>
      <c r="AC15" s="2192"/>
    </row>
    <row r="16" spans="1:39" ht="24">
      <c r="A16" s="3713"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714"/>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799" t="s">
        <v>957</v>
      </c>
      <c r="C18" s="2800">
        <f>SUMIF(修正!C18:C39,E3,修正!E18:E39)</f>
        <v>0</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43174</v>
      </c>
      <c r="H19" s="1476" t="s">
        <v>2946</v>
      </c>
      <c r="I19" s="2811" t="str">
        <f>IF(H19="季度增幅（自定义）",SUMIF(N21:N24,E2,O21:O24),"")</f>
        <v/>
      </c>
      <c r="J19" s="1472"/>
      <c r="K19" s="1482"/>
      <c r="L19" s="3067" t="s">
        <v>2848</v>
      </c>
      <c r="M19" s="3068">
        <f>ROUND(SUMIF(地价!B2:F2,E2,地价!B21:F21),0)</f>
        <v>0</v>
      </c>
      <c r="N19" s="2813" t="s">
        <v>1678</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1838</v>
      </c>
      <c r="B20" s="2806" t="s">
        <v>973</v>
      </c>
      <c r="C20" s="2807" t="e">
        <f>ROUND(POWER(1+G20,J20-I20)*(POWER(1+G20,I20)-1)/(POWER(1+G20,J20)-1),4)</f>
        <v>#DIV/0!</v>
      </c>
      <c r="D20" s="2808" t="s">
        <v>974</v>
      </c>
      <c r="E20" s="3123">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2"/>
      <c r="L20" s="3069" t="s">
        <v>2849</v>
      </c>
      <c r="M20" s="3070">
        <f>ROUND(SUMPRODUCT((地价!A4:A21=YEAR(G19)&amp;"-"&amp;ROUNDUP(MONTH(G19)/3,0))*(地价!B2:F2=E2)*(地价!B4:F21)),0)</f>
        <v>0</v>
      </c>
      <c r="N20" s="2816" t="s">
        <v>2652</v>
      </c>
      <c r="O20" s="2814" t="s">
        <v>2651</v>
      </c>
      <c r="P20" s="2815" t="s">
        <v>2657</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1839</v>
      </c>
      <c r="B21" s="1481" t="s">
        <v>2768</v>
      </c>
      <c r="C21" s="1158">
        <f>IF(B21="容积率修正",IF(G3&lt;=10,D22,J22),C23)</f>
        <v>0</v>
      </c>
      <c r="D21" s="1482"/>
      <c r="E21" s="1482"/>
      <c r="F21" s="1482"/>
      <c r="G21" s="1482"/>
      <c r="H21" s="1482"/>
      <c r="I21" s="1482"/>
      <c r="J21" s="1483"/>
      <c r="K21" s="1482"/>
      <c r="L21" s="1482"/>
      <c r="M21" s="1482"/>
      <c r="N21" s="1479" t="s">
        <v>977</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1.2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4" t="s">
        <v>2655</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19" t="s">
        <v>2973</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20"/>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20"/>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21"/>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5" t="s">
        <v>2948</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4" t="s">
        <v>2947</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5" t="s">
        <v>2949</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4" t="s">
        <v>2947</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4" t="s">
        <v>2947</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4" t="s">
        <v>2947</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17" t="s">
        <v>1635</v>
      </c>
      <c r="B90" s="3717"/>
      <c r="C90" s="3717"/>
      <c r="D90" s="3717"/>
      <c r="E90" s="3717"/>
      <c r="F90" s="3717"/>
      <c r="G90" s="3717"/>
      <c r="H90" s="3717"/>
      <c r="I90" s="3717"/>
      <c r="J90" s="3717"/>
      <c r="K90" s="2476"/>
      <c r="L90" s="2476"/>
      <c r="M90" s="2476"/>
      <c r="N90" s="2476"/>
    </row>
    <row r="91" spans="1:40">
      <c r="A91" s="3718" t="s">
        <v>1445</v>
      </c>
      <c r="B91" s="3718" t="s">
        <v>1636</v>
      </c>
      <c r="C91" s="1140" t="s">
        <v>1637</v>
      </c>
      <c r="D91" s="1141"/>
      <c r="E91" s="1141"/>
      <c r="F91" s="1141"/>
      <c r="G91" s="1141"/>
      <c r="H91" s="1141"/>
      <c r="I91" s="1141"/>
      <c r="J91" s="1142"/>
      <c r="K91" s="1134"/>
      <c r="L91" s="1134"/>
      <c r="M91" s="1134"/>
      <c r="N91" s="1134"/>
    </row>
    <row r="92" spans="1:40">
      <c r="A92" s="3718"/>
      <c r="B92" s="371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707"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0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0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0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0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0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08"/>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0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07" t="s">
        <v>1639</v>
      </c>
      <c r="B101" s="1147" t="s">
        <v>907</v>
      </c>
      <c r="C101" s="1148">
        <f>$G$3</f>
        <v>1.2</v>
      </c>
      <c r="D101" s="1148">
        <f t="shared" ref="D101:N101" si="31">$G$3</f>
        <v>1.2</v>
      </c>
      <c r="E101" s="1148">
        <f t="shared" si="31"/>
        <v>1.2</v>
      </c>
      <c r="F101" s="1148">
        <f t="shared" si="31"/>
        <v>1.2</v>
      </c>
      <c r="G101" s="1148">
        <f t="shared" si="31"/>
        <v>1.2</v>
      </c>
      <c r="H101" s="1148">
        <f t="shared" si="31"/>
        <v>1.2</v>
      </c>
      <c r="I101" s="1148">
        <f t="shared" si="31"/>
        <v>1.2</v>
      </c>
      <c r="J101" s="1148">
        <f t="shared" si="31"/>
        <v>1.2</v>
      </c>
      <c r="K101" s="1148">
        <f t="shared" si="31"/>
        <v>1.2</v>
      </c>
      <c r="L101" s="1148">
        <f t="shared" si="31"/>
        <v>1.2</v>
      </c>
      <c r="M101" s="1148">
        <f t="shared" si="31"/>
        <v>1.2</v>
      </c>
      <c r="N101" s="1148">
        <f t="shared" si="31"/>
        <v>1.2</v>
      </c>
    </row>
    <row r="102" spans="1:14">
      <c r="A102" s="3708"/>
      <c r="B102" s="1143">
        <v>1</v>
      </c>
      <c r="C102" s="1144">
        <f>1.9362/C101</f>
        <v>1.6134999999999999</v>
      </c>
      <c r="D102" s="1144">
        <f>1.9362/D101</f>
        <v>1.6134999999999999</v>
      </c>
      <c r="E102" s="1144">
        <f>1.8629/E101</f>
        <v>1.5524166666666668</v>
      </c>
      <c r="F102" s="1144">
        <f>1.8629/F101</f>
        <v>1.5524166666666668</v>
      </c>
      <c r="G102" s="1144">
        <f>1.8629/G101</f>
        <v>1.5524166666666668</v>
      </c>
      <c r="H102" s="1144">
        <f>1.8629/H101</f>
        <v>1.5524166666666668</v>
      </c>
      <c r="I102" s="1144">
        <f>1.8629/I101</f>
        <v>1.5524166666666668</v>
      </c>
      <c r="J102" s="1144">
        <f>1.942/J101</f>
        <v>1.6183333333333334</v>
      </c>
      <c r="K102" s="1144">
        <f>1.942/K101</f>
        <v>1.6183333333333334</v>
      </c>
      <c r="L102" s="1144">
        <f>1.942/L101</f>
        <v>1.6183333333333334</v>
      </c>
      <c r="M102" s="1144">
        <f>1.942/M101</f>
        <v>1.6183333333333334</v>
      </c>
      <c r="N102" s="1144">
        <f>1.942/N101</f>
        <v>1.6183333333333334</v>
      </c>
    </row>
    <row r="103" spans="1:14">
      <c r="A103" s="3708"/>
      <c r="B103" s="1143">
        <v>2</v>
      </c>
      <c r="C103" s="1144">
        <f>1.4198/C101</f>
        <v>1.1831666666666667</v>
      </c>
      <c r="D103" s="1144">
        <f>1.4198/D101</f>
        <v>1.1831666666666667</v>
      </c>
      <c r="E103" s="1144">
        <f>1.3372/E101</f>
        <v>1.1143333333333334</v>
      </c>
      <c r="F103" s="1144">
        <f>1.3372/F101</f>
        <v>1.1143333333333334</v>
      </c>
      <c r="G103" s="1144">
        <f>1.3372/G101</f>
        <v>1.1143333333333334</v>
      </c>
      <c r="H103" s="1144">
        <f>1.3372/H101</f>
        <v>1.1143333333333334</v>
      </c>
      <c r="I103" s="1144">
        <f>1.3372/I101</f>
        <v>1.1143333333333334</v>
      </c>
      <c r="J103" s="1144">
        <f>1.2799/J101</f>
        <v>1.0665833333333334</v>
      </c>
      <c r="K103" s="1144">
        <f>1.2799/K101</f>
        <v>1.0665833333333334</v>
      </c>
      <c r="L103" s="1144">
        <f>1.2799/L101</f>
        <v>1.0665833333333334</v>
      </c>
      <c r="M103" s="1144">
        <f>1.2799/M101</f>
        <v>1.0665833333333334</v>
      </c>
      <c r="N103" s="1144">
        <f>1.2799/N101</f>
        <v>1.0665833333333334</v>
      </c>
    </row>
    <row r="104" spans="1:14">
      <c r="A104" s="3708"/>
      <c r="B104" s="1143">
        <v>3</v>
      </c>
      <c r="C104" s="1144">
        <f>1.1594/C101</f>
        <v>0.96616666666666673</v>
      </c>
      <c r="D104" s="1144">
        <f>1.1594/D101</f>
        <v>0.96616666666666673</v>
      </c>
      <c r="E104" s="1144">
        <f>1.0788/E101</f>
        <v>0.89900000000000002</v>
      </c>
      <c r="F104" s="1144">
        <f>1.0788/F101</f>
        <v>0.89900000000000002</v>
      </c>
      <c r="G104" s="1144">
        <f>1.0788/G101</f>
        <v>0.89900000000000002</v>
      </c>
      <c r="H104" s="1144">
        <f>1.0788/H101</f>
        <v>0.89900000000000002</v>
      </c>
      <c r="I104" s="1144">
        <f>1.0788/I101</f>
        <v>0.89900000000000002</v>
      </c>
      <c r="J104" s="1144">
        <f>1.0072/J101</f>
        <v>0.83933333333333349</v>
      </c>
      <c r="K104" s="1144">
        <f>1.0072/K101</f>
        <v>0.83933333333333349</v>
      </c>
      <c r="L104" s="1144">
        <f>1.0072/L101</f>
        <v>0.83933333333333349</v>
      </c>
      <c r="M104" s="1144">
        <f>1.0072/M101</f>
        <v>0.83933333333333349</v>
      </c>
      <c r="N104" s="1144">
        <f>1.0072/N101</f>
        <v>0.83933333333333349</v>
      </c>
    </row>
    <row r="105" spans="1:14">
      <c r="A105" s="3708"/>
      <c r="B105" s="1143">
        <v>4</v>
      </c>
      <c r="C105" s="1144">
        <f>0.9622/C101</f>
        <v>0.8018333333333334</v>
      </c>
      <c r="D105" s="1144">
        <f>0.9622/D101</f>
        <v>0.8018333333333334</v>
      </c>
      <c r="E105" s="1144">
        <f>0.8656/E101</f>
        <v>0.72133333333333338</v>
      </c>
      <c r="F105" s="1144">
        <f>0.8656/F101</f>
        <v>0.72133333333333338</v>
      </c>
      <c r="G105" s="1144">
        <f>0.8656/G101</f>
        <v>0.72133333333333338</v>
      </c>
      <c r="H105" s="1144">
        <f>0.8656/H101</f>
        <v>0.72133333333333338</v>
      </c>
      <c r="I105" s="1144">
        <f>0.8656/I101</f>
        <v>0.72133333333333338</v>
      </c>
      <c r="J105" s="1144">
        <f>0.7525/J101</f>
        <v>0.62708333333333333</v>
      </c>
      <c r="K105" s="1144">
        <f>0.7525/K101</f>
        <v>0.62708333333333333</v>
      </c>
      <c r="L105" s="1144">
        <f>0.7525/L101</f>
        <v>0.62708333333333333</v>
      </c>
      <c r="M105" s="1144">
        <f>0.7525/M101</f>
        <v>0.62708333333333333</v>
      </c>
      <c r="N105" s="1144">
        <f>0.7525/N101</f>
        <v>0.62708333333333333</v>
      </c>
    </row>
    <row r="106" spans="1:14">
      <c r="A106" s="3708"/>
      <c r="B106" s="1143">
        <v>5</v>
      </c>
      <c r="C106" s="1144">
        <f>0.8417/C101</f>
        <v>0.70141666666666669</v>
      </c>
      <c r="D106" s="1144">
        <f>0.8417/D101</f>
        <v>0.70141666666666669</v>
      </c>
      <c r="E106" s="1144">
        <f>0.7371/E101</f>
        <v>0.61424999999999996</v>
      </c>
      <c r="F106" s="1144">
        <f>0.7371/F101</f>
        <v>0.61424999999999996</v>
      </c>
      <c r="G106" s="1144">
        <f>0.7371/G101</f>
        <v>0.61424999999999996</v>
      </c>
      <c r="H106" s="1144">
        <f>0.7371/H101</f>
        <v>0.61424999999999996</v>
      </c>
      <c r="I106" s="1144">
        <f>0.7371/I101</f>
        <v>0.61424999999999996</v>
      </c>
      <c r="J106" s="1144">
        <f>0.5659/J101</f>
        <v>0.4715833333333333</v>
      </c>
      <c r="K106" s="1144">
        <f>0.5659/K101</f>
        <v>0.4715833333333333</v>
      </c>
      <c r="L106" s="1144">
        <f>0.5659/L101</f>
        <v>0.4715833333333333</v>
      </c>
      <c r="M106" s="1144">
        <f>0.5659/M101</f>
        <v>0.4715833333333333</v>
      </c>
      <c r="N106" s="1144">
        <f>0.5659/N101</f>
        <v>0.4715833333333333</v>
      </c>
    </row>
    <row r="107" spans="1:14">
      <c r="A107" s="3708"/>
      <c r="B107" s="1143">
        <v>6</v>
      </c>
      <c r="C107" s="1144">
        <f>0.7608/C101</f>
        <v>0.63400000000000001</v>
      </c>
      <c r="D107" s="1144">
        <f>0.7608/D101</f>
        <v>0.63400000000000001</v>
      </c>
      <c r="E107" s="1144">
        <f>0.6482/E101</f>
        <v>0.54016666666666668</v>
      </c>
      <c r="F107" s="1144">
        <f>0.6482/F101</f>
        <v>0.54016666666666668</v>
      </c>
      <c r="G107" s="1144">
        <f>0.6482/G101</f>
        <v>0.54016666666666668</v>
      </c>
      <c r="H107" s="1144">
        <f>0.6482/H101</f>
        <v>0.54016666666666668</v>
      </c>
      <c r="I107" s="1144">
        <f>0.6482/I101</f>
        <v>0.54016666666666668</v>
      </c>
      <c r="J107" s="1144">
        <f>0.4525/J101</f>
        <v>0.37708333333333338</v>
      </c>
      <c r="K107" s="1144">
        <f>0.4525/K101</f>
        <v>0.37708333333333338</v>
      </c>
      <c r="L107" s="1144">
        <f>0.4525/L101</f>
        <v>0.37708333333333338</v>
      </c>
      <c r="M107" s="1144">
        <f>0.4525/M101</f>
        <v>0.37708333333333338</v>
      </c>
      <c r="N107" s="1144">
        <f>0.4525/N101</f>
        <v>0.37708333333333338</v>
      </c>
    </row>
    <row r="108" spans="1:14">
      <c r="A108" s="3708"/>
      <c r="B108" s="3710"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09"/>
      <c r="B109" s="3711"/>
      <c r="C109" s="1146">
        <f>(-0.163*(C108^2)-0.59*C108+7617)*(10^(-4))/C101</f>
        <v>0.6334873333333334</v>
      </c>
      <c r="D109" s="1146">
        <f>(-0.163*(D108^2)-0.59*D108+7617)*(10^(-4))/D101</f>
        <v>0.6334873333333334</v>
      </c>
      <c r="E109" s="1146">
        <f>(-0.161*(E108^2)-7.509*E108+6533)*(10^(-4))/E101</f>
        <v>0.53855200000000003</v>
      </c>
      <c r="F109" s="1146">
        <f>(-0.161*(F108^2)-7.509*F108+6533)*(10^(-4))/F101</f>
        <v>0.53855200000000003</v>
      </c>
      <c r="G109" s="1146">
        <f>(-0.161*(G108^2)-7.509*G108+6533)*(10^(-4))/G101</f>
        <v>0.53855200000000003</v>
      </c>
      <c r="H109" s="1146">
        <f>(-0.161*(H108^2)-7.509*H108+6533)*(10^(-4))/H101</f>
        <v>0.53855200000000003</v>
      </c>
      <c r="I109" s="1146">
        <f>(-0.161*(I108^2)-7.509*I108+6533)*(10^(-4))/I101</f>
        <v>0.53855200000000003</v>
      </c>
      <c r="J109" s="1146">
        <f>(-0.214*(J108^2)-21.991*J108+4665)*(10^(-4))/J101</f>
        <v>0.37294800000000006</v>
      </c>
      <c r="K109" s="1146">
        <f>(-0.214*(K108^2)-21.991*K108+4665)*(10^(-4))/K101</f>
        <v>0.37294800000000006</v>
      </c>
      <c r="L109" s="1146">
        <f>(-0.214*(L108^2)-21.991*L108+4665)*(10^(-4))/L101</f>
        <v>0.37294800000000006</v>
      </c>
      <c r="M109" s="1146">
        <f>(-0.214*(M108^2)-21.991*M108+4665)*(10^(-4))/M101</f>
        <v>0.37294800000000006</v>
      </c>
      <c r="N109" s="1146">
        <f>(-0.214*(N108^2)-21.991*N108+4665)*(10^(-4))/N101</f>
        <v>0.37294800000000006</v>
      </c>
    </row>
    <row r="110" spans="1:14">
      <c r="A110" s="3712" t="s">
        <v>1641</v>
      </c>
      <c r="B110" s="3712"/>
      <c r="C110" s="3712"/>
      <c r="D110" s="3712"/>
      <c r="E110" s="3712"/>
      <c r="F110" s="3712"/>
      <c r="G110" s="3712"/>
      <c r="H110" s="3712"/>
      <c r="I110" s="3712"/>
      <c r="J110" s="3712"/>
      <c r="K110" s="2474"/>
      <c r="L110" s="2474"/>
      <c r="M110" s="2474"/>
      <c r="N110" s="2474"/>
    </row>
    <row r="112" spans="1:14" ht="12.75" thickBot="1"/>
    <row r="113" spans="1:13" ht="25.5" thickBot="1">
      <c r="A113" s="1016" t="s">
        <v>897</v>
      </c>
      <c r="B113" s="2477">
        <f>G3</f>
        <v>1.2</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0.92220000000000002</v>
      </c>
      <c r="C115" s="1030">
        <f>B115</f>
        <v>0.92220000000000002</v>
      </c>
      <c r="D115" s="1030">
        <f>ROUND(0.8331-0.0109*B113,4)</f>
        <v>0.82</v>
      </c>
      <c r="E115" s="1030">
        <f>D115</f>
        <v>0.82</v>
      </c>
      <c r="F115" s="1030">
        <f>E115</f>
        <v>0.82</v>
      </c>
      <c r="G115" s="1030">
        <f>F115</f>
        <v>0.82</v>
      </c>
      <c r="H115" s="1030">
        <f>G115</f>
        <v>0.82</v>
      </c>
      <c r="I115" s="1030">
        <f>ROUND(0.689-0.0155*B113,4)</f>
        <v>0.6704</v>
      </c>
      <c r="J115" s="1030">
        <f t="shared" ref="J115:M118" si="33">I115</f>
        <v>0.6704</v>
      </c>
      <c r="K115" s="1030">
        <f t="shared" si="33"/>
        <v>0.6704</v>
      </c>
      <c r="L115" s="1030">
        <f t="shared" si="33"/>
        <v>0.6704</v>
      </c>
      <c r="M115" s="1031">
        <f t="shared" si="33"/>
        <v>0.6704</v>
      </c>
    </row>
    <row r="116" spans="1:13" ht="12.75">
      <c r="A116" s="1029" t="s">
        <v>902</v>
      </c>
      <c r="B116" s="1030">
        <f>ROUND(0.949-0.012*B113,4)</f>
        <v>0.93459999999999999</v>
      </c>
      <c r="C116" s="1030">
        <f>B116</f>
        <v>0.93459999999999999</v>
      </c>
      <c r="D116" s="1030">
        <f>ROUND(0.8567-0.013*B113,4)</f>
        <v>0.84109999999999996</v>
      </c>
      <c r="E116" s="1030">
        <f t="shared" ref="E116:H117" si="34">D116</f>
        <v>0.84109999999999996</v>
      </c>
      <c r="F116" s="1030">
        <f t="shared" si="34"/>
        <v>0.84109999999999996</v>
      </c>
      <c r="G116" s="1030">
        <f t="shared" si="34"/>
        <v>0.84109999999999996</v>
      </c>
      <c r="H116" s="1030">
        <f t="shared" si="34"/>
        <v>0.84109999999999996</v>
      </c>
      <c r="I116" s="1030">
        <f>ROUND(0.7694-0.014*B113,4)</f>
        <v>0.75260000000000005</v>
      </c>
      <c r="J116" s="1030">
        <f t="shared" si="33"/>
        <v>0.75260000000000005</v>
      </c>
      <c r="K116" s="1030">
        <f t="shared" si="33"/>
        <v>0.75260000000000005</v>
      </c>
      <c r="L116" s="1030">
        <f t="shared" si="33"/>
        <v>0.75260000000000005</v>
      </c>
      <c r="M116" s="1031">
        <f t="shared" si="33"/>
        <v>0.75260000000000005</v>
      </c>
    </row>
    <row r="117" spans="1:13" ht="12.75">
      <c r="A117" s="1032" t="s">
        <v>903</v>
      </c>
      <c r="B117" s="1030">
        <f>ROUND(0.8808-0.006*B113,4)</f>
        <v>0.87360000000000004</v>
      </c>
      <c r="C117" s="1030">
        <f>B117</f>
        <v>0.87360000000000004</v>
      </c>
      <c r="D117" s="1030">
        <f>ROUND(0.8748-0.008*B113,4)</f>
        <v>0.86519999999999997</v>
      </c>
      <c r="E117" s="1030">
        <f t="shared" si="34"/>
        <v>0.86519999999999997</v>
      </c>
      <c r="F117" s="1030">
        <f t="shared" si="34"/>
        <v>0.86519999999999997</v>
      </c>
      <c r="G117" s="1030">
        <f t="shared" si="34"/>
        <v>0.86519999999999997</v>
      </c>
      <c r="H117" s="1030">
        <f t="shared" si="34"/>
        <v>0.86519999999999997</v>
      </c>
      <c r="I117" s="1030">
        <f>ROUND(0.7412-0.0095*B113,4)</f>
        <v>0.7298</v>
      </c>
      <c r="J117" s="1030">
        <f t="shared" si="33"/>
        <v>0.7298</v>
      </c>
      <c r="K117" s="1030">
        <f t="shared" si="33"/>
        <v>0.7298</v>
      </c>
      <c r="L117" s="1030">
        <f t="shared" si="33"/>
        <v>0.7298</v>
      </c>
      <c r="M117" s="1031">
        <f t="shared" si="33"/>
        <v>0.7298</v>
      </c>
    </row>
    <row r="118" spans="1:13" ht="13.5" thickBot="1">
      <c r="A118" s="1033" t="s">
        <v>904</v>
      </c>
      <c r="B118" s="1034">
        <f>ROUND(0.7275-0.01*B113,4)</f>
        <v>0.71550000000000002</v>
      </c>
      <c r="C118" s="1034">
        <f>B118</f>
        <v>0.71550000000000002</v>
      </c>
      <c r="D118" s="1034">
        <f>ROUND(0.7043-0.012*B113,4)</f>
        <v>0.68989999999999996</v>
      </c>
      <c r="E118" s="1034">
        <f>D118</f>
        <v>0.68989999999999996</v>
      </c>
      <c r="F118" s="1034">
        <f>E118</f>
        <v>0.68989999999999996</v>
      </c>
      <c r="G118" s="1034">
        <f>ROUND(0.6299-0.0122*B113,4)</f>
        <v>0.61529999999999996</v>
      </c>
      <c r="H118" s="1034">
        <f>G118</f>
        <v>0.61529999999999996</v>
      </c>
      <c r="I118" s="1034">
        <f>ROUND(0.5667-0.0136*B113,4)</f>
        <v>0.5504</v>
      </c>
      <c r="J118" s="1034">
        <f t="shared" si="33"/>
        <v>0.5504</v>
      </c>
      <c r="K118" s="1034">
        <f t="shared" si="33"/>
        <v>0.5504</v>
      </c>
      <c r="L118" s="1034">
        <f t="shared" si="33"/>
        <v>0.5504</v>
      </c>
      <c r="M118" s="1035">
        <f t="shared" si="33"/>
        <v>0.5504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18" t="s">
        <v>1009</v>
      </c>
      <c r="B18" s="1154" t="s">
        <v>1448</v>
      </c>
      <c r="C18" s="1131" t="s">
        <v>1449</v>
      </c>
      <c r="D18" s="1132"/>
      <c r="E18" s="1154">
        <v>1</v>
      </c>
      <c r="F18" s="1133" t="s">
        <v>1450</v>
      </c>
      <c r="G18" s="1134"/>
      <c r="H18" s="1105"/>
      <c r="I18" s="1105"/>
    </row>
    <row r="19" spans="1:9" s="1600" customFormat="1" ht="19.5" customHeight="1">
      <c r="A19" s="3718"/>
      <c r="B19" s="3718" t="s">
        <v>1451</v>
      </c>
      <c r="C19" s="1131" t="s">
        <v>1452</v>
      </c>
      <c r="D19" s="1132"/>
      <c r="E19" s="1154">
        <v>0.9</v>
      </c>
      <c r="F19" s="1133" t="s">
        <v>1453</v>
      </c>
      <c r="G19" s="1134"/>
      <c r="H19" s="1105"/>
      <c r="I19" s="1105"/>
    </row>
    <row r="20" spans="1:9" s="1600" customFormat="1" ht="19.5" customHeight="1">
      <c r="A20" s="3718"/>
      <c r="B20" s="3718"/>
      <c r="C20" s="1131" t="s">
        <v>1454</v>
      </c>
      <c r="D20" s="1132"/>
      <c r="E20" s="1154">
        <v>1.1000000000000001</v>
      </c>
      <c r="F20" s="1133" t="s">
        <v>1455</v>
      </c>
      <c r="G20" s="1134"/>
      <c r="H20" s="1105"/>
      <c r="I20" s="1105"/>
    </row>
    <row r="21" spans="1:9" s="1600" customFormat="1" ht="19.5" customHeight="1">
      <c r="A21" s="3718"/>
      <c r="B21" s="3718"/>
      <c r="C21" s="1131" t="s">
        <v>1456</v>
      </c>
      <c r="D21" s="1132"/>
      <c r="E21" s="1154">
        <v>0.8</v>
      </c>
      <c r="F21" s="1133" t="s">
        <v>1457</v>
      </c>
      <c r="G21" s="1134"/>
      <c r="H21" s="1105"/>
      <c r="I21" s="1105"/>
    </row>
    <row r="22" spans="1:9" s="1600" customFormat="1" ht="19.5" customHeight="1">
      <c r="A22" s="3718"/>
      <c r="B22" s="3718"/>
      <c r="C22" s="1131" t="s">
        <v>1458</v>
      </c>
      <c r="D22" s="1132"/>
      <c r="E22" s="1154">
        <v>0.5</v>
      </c>
      <c r="F22" s="1133"/>
      <c r="G22" s="1134"/>
      <c r="H22" s="1105"/>
      <c r="I22" s="1105"/>
    </row>
    <row r="23" spans="1:9" s="1600" customFormat="1" ht="19.5" customHeight="1">
      <c r="A23" s="3718" t="s">
        <v>1031</v>
      </c>
      <c r="B23" s="1154" t="s">
        <v>1448</v>
      </c>
      <c r="C23" s="1131" t="s">
        <v>1459</v>
      </c>
      <c r="D23" s="1132"/>
      <c r="E23" s="1154">
        <v>1</v>
      </c>
      <c r="F23" s="1133" t="s">
        <v>1460</v>
      </c>
      <c r="G23" s="1134"/>
      <c r="H23" s="1105"/>
      <c r="I23" s="1105"/>
    </row>
    <row r="24" spans="1:9" s="1600" customFormat="1" ht="19.5" customHeight="1">
      <c r="A24" s="3718"/>
      <c r="B24" s="3718" t="s">
        <v>1451</v>
      </c>
      <c r="C24" s="1131" t="s">
        <v>1461</v>
      </c>
      <c r="D24" s="1132"/>
      <c r="E24" s="1154">
        <v>0.5</v>
      </c>
      <c r="F24" s="1133"/>
      <c r="G24" s="1134"/>
      <c r="H24" s="1105"/>
      <c r="I24" s="1105"/>
    </row>
    <row r="25" spans="1:9" s="1600" customFormat="1" ht="19.5" customHeight="1">
      <c r="A25" s="3718"/>
      <c r="B25" s="3718"/>
      <c r="C25" s="1131" t="s">
        <v>1462</v>
      </c>
      <c r="D25" s="1132"/>
      <c r="E25" s="1154">
        <v>1.1000000000000001</v>
      </c>
      <c r="F25" s="1133"/>
      <c r="G25" s="1134"/>
      <c r="H25" s="1105"/>
      <c r="I25" s="1105"/>
    </row>
    <row r="26" spans="1:9" s="1600" customFormat="1" ht="19.5" customHeight="1">
      <c r="A26" s="3718"/>
      <c r="B26" s="3718"/>
      <c r="C26" s="1131" t="s">
        <v>1463</v>
      </c>
      <c r="D26" s="1132"/>
      <c r="E26" s="1154">
        <v>1.1000000000000001</v>
      </c>
      <c r="F26" s="1133"/>
      <c r="G26" s="1134"/>
      <c r="H26" s="1105"/>
      <c r="I26" s="1105"/>
    </row>
    <row r="27" spans="1:9" s="1600" customFormat="1" ht="19.5" customHeight="1">
      <c r="A27" s="3718"/>
      <c r="B27" s="3718"/>
      <c r="C27" s="1131" t="s">
        <v>1464</v>
      </c>
      <c r="D27" s="1132"/>
      <c r="E27" s="1154">
        <v>0.9</v>
      </c>
      <c r="F27" s="1133" t="s">
        <v>1465</v>
      </c>
      <c r="G27" s="1134"/>
      <c r="H27" s="1105"/>
      <c r="I27" s="1105"/>
    </row>
    <row r="28" spans="1:9" s="1600" customFormat="1" ht="19.5" customHeight="1">
      <c r="A28" s="3718"/>
      <c r="B28" s="3718"/>
      <c r="C28" s="1131" t="s">
        <v>1466</v>
      </c>
      <c r="D28" s="1132"/>
      <c r="E28" s="1154">
        <v>0.9</v>
      </c>
      <c r="F28" s="1133" t="s">
        <v>1467</v>
      </c>
      <c r="G28" s="1134"/>
      <c r="H28" s="1105"/>
      <c r="I28" s="1105"/>
    </row>
    <row r="29" spans="1:9" s="1600" customFormat="1" ht="19.5" customHeight="1">
      <c r="A29" s="3718"/>
      <c r="B29" s="3718"/>
      <c r="C29" s="1131" t="s">
        <v>1468</v>
      </c>
      <c r="D29" s="1132"/>
      <c r="E29" s="1154">
        <v>0.9</v>
      </c>
      <c r="F29" s="1133" t="s">
        <v>1469</v>
      </c>
      <c r="G29" s="1134"/>
      <c r="H29" s="1105"/>
      <c r="I29" s="1105"/>
    </row>
    <row r="30" spans="1:9" s="1600" customFormat="1" ht="19.5" customHeight="1">
      <c r="A30" s="3718"/>
      <c r="B30" s="3718"/>
      <c r="C30" s="1131" t="s">
        <v>1470</v>
      </c>
      <c r="D30" s="1132"/>
      <c r="E30" s="1154">
        <v>0.9</v>
      </c>
      <c r="F30" s="1133" t="s">
        <v>1471</v>
      </c>
      <c r="G30" s="1134"/>
      <c r="H30" s="1105"/>
      <c r="I30" s="1105"/>
    </row>
    <row r="31" spans="1:9" s="1600" customFormat="1" ht="19.5" customHeight="1">
      <c r="A31" s="3718"/>
      <c r="B31" s="3718"/>
      <c r="C31" s="1131" t="s">
        <v>1472</v>
      </c>
      <c r="D31" s="1132"/>
      <c r="E31" s="1154">
        <v>0.8</v>
      </c>
      <c r="F31" s="1133" t="s">
        <v>1473</v>
      </c>
      <c r="G31" s="1134"/>
      <c r="H31" s="1105"/>
      <c r="I31" s="1105"/>
    </row>
    <row r="32" spans="1:9" s="1600" customFormat="1" ht="19.5" customHeight="1">
      <c r="A32" s="3718"/>
      <c r="B32" s="3718"/>
      <c r="C32" s="1131" t="s">
        <v>1474</v>
      </c>
      <c r="D32" s="1132"/>
      <c r="E32" s="1154">
        <v>0.8</v>
      </c>
      <c r="F32" s="1133" t="s">
        <v>1475</v>
      </c>
      <c r="G32" s="1134"/>
      <c r="H32" s="1105"/>
      <c r="I32" s="1105"/>
    </row>
    <row r="33" spans="1:9" s="1600" customFormat="1" ht="19.5" customHeight="1">
      <c r="A33" s="3718" t="s">
        <v>1476</v>
      </c>
      <c r="B33" s="1154" t="s">
        <v>1448</v>
      </c>
      <c r="C33" s="1131" t="s">
        <v>1477</v>
      </c>
      <c r="D33" s="1132"/>
      <c r="E33" s="1154">
        <v>1</v>
      </c>
      <c r="F33" s="1133" t="s">
        <v>1478</v>
      </c>
      <c r="G33" s="1134"/>
      <c r="H33" s="1105"/>
      <c r="I33" s="1105"/>
    </row>
    <row r="34" spans="1:9" s="1600" customFormat="1" ht="19.5" customHeight="1">
      <c r="A34" s="3718"/>
      <c r="B34" s="1154" t="s">
        <v>1451</v>
      </c>
      <c r="C34" s="1131" t="s">
        <v>1479</v>
      </c>
      <c r="D34" s="1132"/>
      <c r="E34" s="1154">
        <v>1.5</v>
      </c>
      <c r="F34" s="1133" t="s">
        <v>1480</v>
      </c>
      <c r="G34" s="1134"/>
      <c r="H34" s="1105"/>
      <c r="I34" s="1105"/>
    </row>
    <row r="35" spans="1:9" s="1600" customFormat="1" ht="19.5" customHeight="1">
      <c r="A35" s="3718" t="s">
        <v>1434</v>
      </c>
      <c r="B35" s="1154" t="s">
        <v>1448</v>
      </c>
      <c r="C35" s="1131" t="s">
        <v>1481</v>
      </c>
      <c r="D35" s="1132"/>
      <c r="E35" s="1154">
        <v>1</v>
      </c>
      <c r="F35" s="1133" t="s">
        <v>1482</v>
      </c>
      <c r="G35" s="1134"/>
      <c r="H35" s="1105"/>
      <c r="I35" s="1105"/>
    </row>
    <row r="36" spans="1:9" s="1600" customFormat="1" ht="19.5" customHeight="1">
      <c r="A36" s="3718"/>
      <c r="B36" s="3718" t="s">
        <v>1451</v>
      </c>
      <c r="C36" s="1131" t="s">
        <v>1483</v>
      </c>
      <c r="D36" s="1132"/>
      <c r="E36" s="1154">
        <v>1</v>
      </c>
      <c r="F36" s="1133" t="s">
        <v>1484</v>
      </c>
      <c r="G36" s="1134"/>
      <c r="H36" s="1105"/>
      <c r="I36" s="1105"/>
    </row>
    <row r="37" spans="1:9" s="1600" customFormat="1" ht="19.5" customHeight="1">
      <c r="A37" s="3718"/>
      <c r="B37" s="3718"/>
      <c r="C37" s="1131" t="s">
        <v>1485</v>
      </c>
      <c r="D37" s="1132"/>
      <c r="E37" s="1154">
        <v>1.5</v>
      </c>
      <c r="F37" s="1133" t="s">
        <v>1486</v>
      </c>
      <c r="G37" s="1134"/>
      <c r="H37" s="1105"/>
      <c r="I37" s="1105"/>
    </row>
    <row r="38" spans="1:9" s="1600" customFormat="1" ht="19.5" customHeight="1">
      <c r="A38" s="3718"/>
      <c r="B38" s="3718"/>
      <c r="C38" s="1131" t="s">
        <v>1487</v>
      </c>
      <c r="D38" s="1132"/>
      <c r="E38" s="1154">
        <v>1</v>
      </c>
      <c r="F38" s="1133" t="s">
        <v>1488</v>
      </c>
      <c r="G38" s="1134"/>
      <c r="H38" s="1105"/>
      <c r="I38" s="1105"/>
    </row>
    <row r="39" spans="1:9" s="1600" customFormat="1" ht="19.5" customHeight="1">
      <c r="A39" s="3718"/>
      <c r="B39" s="3718"/>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18" t="s">
        <v>1503</v>
      </c>
      <c r="C61" s="1068" t="s">
        <v>1504</v>
      </c>
      <c r="D61" s="1068" t="s">
        <v>1505</v>
      </c>
      <c r="E61" s="1139">
        <v>0.5</v>
      </c>
      <c r="F61" s="1154">
        <v>80</v>
      </c>
      <c r="H61" s="1105">
        <f>SUMIF(C59:C119,基准地价!C8,E59:E119)</f>
        <v>0</v>
      </c>
    </row>
    <row r="62" spans="1:8" s="1105" customFormat="1" ht="24">
      <c r="A62" s="1154">
        <v>2</v>
      </c>
      <c r="B62" s="3718"/>
      <c r="C62" s="1068" t="s">
        <v>1506</v>
      </c>
      <c r="D62" s="1068" t="s">
        <v>1507</v>
      </c>
      <c r="E62" s="1139">
        <v>0.5</v>
      </c>
      <c r="F62" s="1154">
        <v>80</v>
      </c>
    </row>
    <row r="63" spans="1:8" s="1105" customFormat="1" ht="36">
      <c r="A63" s="1154">
        <v>3</v>
      </c>
      <c r="B63" s="3718"/>
      <c r="C63" s="1068" t="s">
        <v>1508</v>
      </c>
      <c r="D63" s="1068" t="s">
        <v>1509</v>
      </c>
      <c r="E63" s="1139">
        <v>0.5</v>
      </c>
      <c r="F63" s="1154">
        <v>80</v>
      </c>
    </row>
    <row r="64" spans="1:8" s="1105" customFormat="1" ht="36">
      <c r="A64" s="1154">
        <v>4</v>
      </c>
      <c r="B64" s="3718"/>
      <c r="C64" s="1068" t="s">
        <v>1510</v>
      </c>
      <c r="D64" s="1068" t="s">
        <v>1511</v>
      </c>
      <c r="E64" s="1139">
        <v>0.4</v>
      </c>
      <c r="F64" s="1154">
        <v>60</v>
      </c>
    </row>
    <row r="65" spans="1:6" s="1105" customFormat="1" ht="36">
      <c r="A65" s="1154">
        <v>5</v>
      </c>
      <c r="B65" s="3718"/>
      <c r="C65" s="1068" t="s">
        <v>1512</v>
      </c>
      <c r="D65" s="1068" t="s">
        <v>1513</v>
      </c>
      <c r="E65" s="1139">
        <v>0.2</v>
      </c>
      <c r="F65" s="1154">
        <v>30</v>
      </c>
    </row>
    <row r="66" spans="1:6" s="1105" customFormat="1" ht="36">
      <c r="A66" s="1154">
        <v>6</v>
      </c>
      <c r="B66" s="3718"/>
      <c r="C66" s="1068" t="s">
        <v>1514</v>
      </c>
      <c r="D66" s="1068" t="s">
        <v>1515</v>
      </c>
      <c r="E66" s="1139">
        <v>0.3</v>
      </c>
      <c r="F66" s="1154">
        <v>50</v>
      </c>
    </row>
    <row r="67" spans="1:6" s="1105" customFormat="1" ht="36">
      <c r="A67" s="1154">
        <v>7</v>
      </c>
      <c r="B67" s="3718"/>
      <c r="C67" s="1068" t="s">
        <v>1516</v>
      </c>
      <c r="D67" s="1068" t="s">
        <v>1517</v>
      </c>
      <c r="E67" s="1139">
        <v>0.2</v>
      </c>
      <c r="F67" s="1154">
        <v>30</v>
      </c>
    </row>
    <row r="68" spans="1:6" s="1105" customFormat="1" ht="36">
      <c r="A68" s="1154">
        <v>8</v>
      </c>
      <c r="B68" s="3718"/>
      <c r="C68" s="1068" t="s">
        <v>1518</v>
      </c>
      <c r="D68" s="1068" t="s">
        <v>1519</v>
      </c>
      <c r="E68" s="1139">
        <v>0.2</v>
      </c>
      <c r="F68" s="1154">
        <v>30</v>
      </c>
    </row>
    <row r="69" spans="1:6" s="1105" customFormat="1" ht="36">
      <c r="A69" s="1154">
        <v>9</v>
      </c>
      <c r="B69" s="3718"/>
      <c r="C69" s="1068" t="s">
        <v>1520</v>
      </c>
      <c r="D69" s="1068" t="s">
        <v>1521</v>
      </c>
      <c r="E69" s="1139">
        <v>0.2</v>
      </c>
      <c r="F69" s="1154">
        <v>30</v>
      </c>
    </row>
    <row r="70" spans="1:6" s="1105" customFormat="1" ht="48">
      <c r="A70" s="1154">
        <v>10</v>
      </c>
      <c r="B70" s="3718"/>
      <c r="C70" s="1068" t="s">
        <v>1522</v>
      </c>
      <c r="D70" s="1068" t="s">
        <v>1523</v>
      </c>
      <c r="E70" s="1139">
        <v>0.2</v>
      </c>
      <c r="F70" s="1154">
        <v>30</v>
      </c>
    </row>
    <row r="71" spans="1:6" s="1105" customFormat="1" ht="48">
      <c r="A71" s="1154">
        <v>11</v>
      </c>
      <c r="B71" s="3718"/>
      <c r="C71" s="1068" t="s">
        <v>1524</v>
      </c>
      <c r="D71" s="1068" t="s">
        <v>1525</v>
      </c>
      <c r="E71" s="1139">
        <v>0.2</v>
      </c>
      <c r="F71" s="1154">
        <v>30</v>
      </c>
    </row>
    <row r="72" spans="1:6" s="1105" customFormat="1" ht="36">
      <c r="A72" s="1154">
        <v>12</v>
      </c>
      <c r="B72" s="3718"/>
      <c r="C72" s="1068" t="s">
        <v>1526</v>
      </c>
      <c r="D72" s="1068" t="s">
        <v>1527</v>
      </c>
      <c r="E72" s="1139">
        <v>0.5</v>
      </c>
      <c r="F72" s="1154">
        <v>80</v>
      </c>
    </row>
    <row r="73" spans="1:6" s="1105" customFormat="1" ht="24">
      <c r="A73" s="1154">
        <v>13</v>
      </c>
      <c r="B73" s="3718"/>
      <c r="C73" s="1068" t="s">
        <v>1528</v>
      </c>
      <c r="D73" s="1068" t="s">
        <v>1529</v>
      </c>
      <c r="E73" s="1139">
        <v>0.4</v>
      </c>
      <c r="F73" s="1154">
        <v>60</v>
      </c>
    </row>
    <row r="74" spans="1:6" s="1105" customFormat="1" ht="24">
      <c r="A74" s="1154">
        <v>14</v>
      </c>
      <c r="B74" s="3718"/>
      <c r="C74" s="1068" t="s">
        <v>1530</v>
      </c>
      <c r="D74" s="1068" t="s">
        <v>1531</v>
      </c>
      <c r="E74" s="1139">
        <v>0.2</v>
      </c>
      <c r="F74" s="1154">
        <v>30</v>
      </c>
    </row>
    <row r="75" spans="1:6" s="1105" customFormat="1" ht="24">
      <c r="A75" s="1154">
        <v>15</v>
      </c>
      <c r="B75" s="3718"/>
      <c r="C75" s="1068" t="s">
        <v>1532</v>
      </c>
      <c r="D75" s="1068" t="s">
        <v>1533</v>
      </c>
      <c r="E75" s="1139">
        <v>0.2</v>
      </c>
      <c r="F75" s="1154">
        <v>30</v>
      </c>
    </row>
    <row r="76" spans="1:6" s="1105" customFormat="1" ht="24">
      <c r="A76" s="1154">
        <v>16</v>
      </c>
      <c r="B76" s="3718" t="s">
        <v>1534</v>
      </c>
      <c r="C76" s="1068" t="s">
        <v>1535</v>
      </c>
      <c r="D76" s="1068" t="s">
        <v>1536</v>
      </c>
      <c r="E76" s="1139">
        <v>0.5</v>
      </c>
      <c r="F76" s="1154">
        <v>80</v>
      </c>
    </row>
    <row r="77" spans="1:6" s="1105" customFormat="1" ht="24">
      <c r="A77" s="1154">
        <v>17</v>
      </c>
      <c r="B77" s="3718"/>
      <c r="C77" s="1068" t="s">
        <v>1537</v>
      </c>
      <c r="D77" s="1068" t="s">
        <v>1538</v>
      </c>
      <c r="E77" s="1139">
        <v>0.5</v>
      </c>
      <c r="F77" s="1154">
        <v>80</v>
      </c>
    </row>
    <row r="78" spans="1:6" s="1105" customFormat="1" ht="24">
      <c r="A78" s="1154">
        <v>18</v>
      </c>
      <c r="B78" s="3718"/>
      <c r="C78" s="1068" t="s">
        <v>1539</v>
      </c>
      <c r="D78" s="1068" t="s">
        <v>1540</v>
      </c>
      <c r="E78" s="1139">
        <v>0.2</v>
      </c>
      <c r="F78" s="1154">
        <v>30</v>
      </c>
    </row>
    <row r="79" spans="1:6" s="1105" customFormat="1" ht="24">
      <c r="A79" s="1154">
        <v>19</v>
      </c>
      <c r="B79" s="3718"/>
      <c r="C79" s="1068" t="s">
        <v>1541</v>
      </c>
      <c r="D79" s="1068" t="s">
        <v>1542</v>
      </c>
      <c r="E79" s="1139">
        <v>0.5</v>
      </c>
      <c r="F79" s="1154">
        <v>80</v>
      </c>
    </row>
    <row r="80" spans="1:6" s="1105" customFormat="1" ht="36">
      <c r="A80" s="1154">
        <v>20</v>
      </c>
      <c r="B80" s="3718"/>
      <c r="C80" s="1068" t="s">
        <v>1543</v>
      </c>
      <c r="D80" s="1068" t="s">
        <v>1544</v>
      </c>
      <c r="E80" s="1139">
        <v>0.2</v>
      </c>
      <c r="F80" s="1154">
        <v>30</v>
      </c>
    </row>
    <row r="81" spans="1:6" s="1105" customFormat="1" ht="36">
      <c r="A81" s="1154">
        <v>21</v>
      </c>
      <c r="B81" s="3718"/>
      <c r="C81" s="1068" t="s">
        <v>1545</v>
      </c>
      <c r="D81" s="1068" t="s">
        <v>1546</v>
      </c>
      <c r="E81" s="1139">
        <v>0.2</v>
      </c>
      <c r="F81" s="1154">
        <v>30</v>
      </c>
    </row>
    <row r="82" spans="1:6" s="1105" customFormat="1" ht="48">
      <c r="A82" s="1154">
        <v>22</v>
      </c>
      <c r="B82" s="3718"/>
      <c r="C82" s="1068" t="s">
        <v>1547</v>
      </c>
      <c r="D82" s="1068" t="s">
        <v>1548</v>
      </c>
      <c r="E82" s="1139">
        <v>0.2</v>
      </c>
      <c r="F82" s="1154">
        <v>30</v>
      </c>
    </row>
    <row r="83" spans="1:6" s="1105" customFormat="1" ht="48">
      <c r="A83" s="1154">
        <v>23</v>
      </c>
      <c r="B83" s="3718"/>
      <c r="C83" s="1068" t="s">
        <v>1549</v>
      </c>
      <c r="D83" s="1068" t="s">
        <v>1550</v>
      </c>
      <c r="E83" s="1139">
        <v>0.2</v>
      </c>
      <c r="F83" s="1154">
        <v>30</v>
      </c>
    </row>
    <row r="84" spans="1:6" s="1105" customFormat="1" ht="36">
      <c r="A84" s="1154">
        <v>24</v>
      </c>
      <c r="B84" s="3718"/>
      <c r="C84" s="1068" t="s">
        <v>1551</v>
      </c>
      <c r="D84" s="1068" t="s">
        <v>1552</v>
      </c>
      <c r="E84" s="1139">
        <v>0.2</v>
      </c>
      <c r="F84" s="1154">
        <v>30</v>
      </c>
    </row>
    <row r="85" spans="1:6" s="1105" customFormat="1" ht="36">
      <c r="A85" s="1154">
        <v>25</v>
      </c>
      <c r="B85" s="3718"/>
      <c r="C85" s="1068" t="s">
        <v>1553</v>
      </c>
      <c r="D85" s="1068" t="s">
        <v>1554</v>
      </c>
      <c r="E85" s="1139">
        <v>0.5</v>
      </c>
      <c r="F85" s="1154">
        <v>80</v>
      </c>
    </row>
    <row r="86" spans="1:6" s="1105" customFormat="1" ht="36">
      <c r="A86" s="1154">
        <v>26</v>
      </c>
      <c r="B86" s="3718"/>
      <c r="C86" s="1068" t="s">
        <v>1555</v>
      </c>
      <c r="D86" s="1068" t="s">
        <v>1556</v>
      </c>
      <c r="E86" s="1139">
        <v>0.2</v>
      </c>
      <c r="F86" s="1154">
        <v>30</v>
      </c>
    </row>
    <row r="87" spans="1:6" s="1105" customFormat="1" ht="36">
      <c r="A87" s="1154">
        <v>27</v>
      </c>
      <c r="B87" s="3718"/>
      <c r="C87" s="1068" t="s">
        <v>1557</v>
      </c>
      <c r="D87" s="1068" t="s">
        <v>1558</v>
      </c>
      <c r="E87" s="1139">
        <v>0.2</v>
      </c>
      <c r="F87" s="1154">
        <v>30</v>
      </c>
    </row>
    <row r="88" spans="1:6" s="1105" customFormat="1" ht="36">
      <c r="A88" s="1154">
        <v>28</v>
      </c>
      <c r="B88" s="3718"/>
      <c r="C88" s="1068" t="s">
        <v>1559</v>
      </c>
      <c r="D88" s="1068" t="s">
        <v>1560</v>
      </c>
      <c r="E88" s="1139">
        <v>0.2</v>
      </c>
      <c r="F88" s="1154">
        <v>30</v>
      </c>
    </row>
    <row r="89" spans="1:6" s="1105" customFormat="1" ht="24">
      <c r="A89" s="1154">
        <v>29</v>
      </c>
      <c r="B89" s="3718"/>
      <c r="C89" s="1068" t="s">
        <v>1561</v>
      </c>
      <c r="D89" s="1068" t="s">
        <v>1562</v>
      </c>
      <c r="E89" s="1139">
        <v>0.2</v>
      </c>
      <c r="F89" s="1154">
        <v>30</v>
      </c>
    </row>
    <row r="90" spans="1:6" s="1105" customFormat="1" ht="24">
      <c r="A90" s="1154">
        <v>30</v>
      </c>
      <c r="B90" s="3718"/>
      <c r="C90" s="1068" t="s">
        <v>1563</v>
      </c>
      <c r="D90" s="1068" t="s">
        <v>1564</v>
      </c>
      <c r="E90" s="1139">
        <v>0.2</v>
      </c>
      <c r="F90" s="1154">
        <v>30</v>
      </c>
    </row>
    <row r="91" spans="1:6" s="1105" customFormat="1" ht="36">
      <c r="A91" s="1154">
        <v>31</v>
      </c>
      <c r="B91" s="3718"/>
      <c r="C91" s="1068" t="s">
        <v>1565</v>
      </c>
      <c r="D91" s="1068" t="s">
        <v>1566</v>
      </c>
      <c r="E91" s="1139">
        <v>0.2</v>
      </c>
      <c r="F91" s="1154">
        <v>30</v>
      </c>
    </row>
    <row r="92" spans="1:6" s="1105" customFormat="1" ht="24">
      <c r="A92" s="1154">
        <v>32</v>
      </c>
      <c r="B92" s="3718" t="s">
        <v>1567</v>
      </c>
      <c r="C92" s="1154" t="s">
        <v>1568</v>
      </c>
      <c r="D92" s="1068" t="s">
        <v>1569</v>
      </c>
      <c r="E92" s="1139">
        <v>0.2</v>
      </c>
      <c r="F92" s="1154">
        <v>30</v>
      </c>
    </row>
    <row r="93" spans="1:6" s="1105" customFormat="1" ht="36">
      <c r="A93" s="1154">
        <v>33</v>
      </c>
      <c r="B93" s="3718"/>
      <c r="C93" s="1154" t="s">
        <v>1570</v>
      </c>
      <c r="D93" s="1068" t="s">
        <v>1571</v>
      </c>
      <c r="E93" s="1139">
        <v>0.2</v>
      </c>
      <c r="F93" s="1154">
        <v>30</v>
      </c>
    </row>
    <row r="94" spans="1:6" s="1105" customFormat="1" ht="48">
      <c r="A94" s="1154">
        <v>34</v>
      </c>
      <c r="B94" s="3718"/>
      <c r="C94" s="1154" t="s">
        <v>1572</v>
      </c>
      <c r="D94" s="1068" t="s">
        <v>1573</v>
      </c>
      <c r="E94" s="1139">
        <v>0.2</v>
      </c>
      <c r="F94" s="1154">
        <v>30</v>
      </c>
    </row>
    <row r="95" spans="1:6" s="1105" customFormat="1" ht="36">
      <c r="A95" s="1154">
        <v>35</v>
      </c>
      <c r="B95" s="3718"/>
      <c r="C95" s="1154" t="s">
        <v>1574</v>
      </c>
      <c r="D95" s="1068" t="s">
        <v>1575</v>
      </c>
      <c r="E95" s="1139">
        <v>0.2</v>
      </c>
      <c r="F95" s="1154">
        <v>30</v>
      </c>
    </row>
    <row r="96" spans="1:6" s="1105" customFormat="1" ht="48">
      <c r="A96" s="1154">
        <v>36</v>
      </c>
      <c r="B96" s="3718"/>
      <c r="C96" s="1068" t="s">
        <v>1576</v>
      </c>
      <c r="D96" s="1068" t="s">
        <v>1577</v>
      </c>
      <c r="E96" s="1139">
        <v>0.2</v>
      </c>
      <c r="F96" s="1154">
        <v>30</v>
      </c>
    </row>
    <row r="97" spans="1:6" s="1105" customFormat="1" ht="36">
      <c r="A97" s="1154">
        <v>37</v>
      </c>
      <c r="B97" s="3718"/>
      <c r="C97" s="1154" t="s">
        <v>1578</v>
      </c>
      <c r="D97" s="1068" t="s">
        <v>1579</v>
      </c>
      <c r="E97" s="1139">
        <v>0.2</v>
      </c>
      <c r="F97" s="1154">
        <v>30</v>
      </c>
    </row>
    <row r="98" spans="1:6" s="1105" customFormat="1" ht="36">
      <c r="A98" s="1154">
        <v>38</v>
      </c>
      <c r="B98" s="3718"/>
      <c r="C98" s="1154" t="s">
        <v>1580</v>
      </c>
      <c r="D98" s="1068" t="s">
        <v>1581</v>
      </c>
      <c r="E98" s="1139">
        <v>0.2</v>
      </c>
      <c r="F98" s="1154">
        <v>30</v>
      </c>
    </row>
    <row r="99" spans="1:6" s="1105" customFormat="1" ht="36">
      <c r="A99" s="1154">
        <v>39</v>
      </c>
      <c r="B99" s="3718" t="s">
        <v>1582</v>
      </c>
      <c r="C99" s="1154" t="s">
        <v>1583</v>
      </c>
      <c r="D99" s="1068" t="s">
        <v>1584</v>
      </c>
      <c r="E99" s="1139">
        <v>0.3</v>
      </c>
      <c r="F99" s="1154">
        <v>50</v>
      </c>
    </row>
    <row r="100" spans="1:6" s="1105" customFormat="1" ht="24">
      <c r="A100" s="1154">
        <v>40</v>
      </c>
      <c r="B100" s="3718"/>
      <c r="C100" s="1154" t="s">
        <v>1585</v>
      </c>
      <c r="D100" s="1068" t="s">
        <v>1586</v>
      </c>
      <c r="E100" s="1139">
        <v>0.2</v>
      </c>
      <c r="F100" s="1154">
        <v>30</v>
      </c>
    </row>
    <row r="101" spans="1:6" s="1105" customFormat="1" ht="36">
      <c r="A101" s="1154">
        <v>41</v>
      </c>
      <c r="B101" s="3718"/>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18" t="s">
        <v>1597</v>
      </c>
      <c r="C105" s="1154" t="s">
        <v>1598</v>
      </c>
      <c r="D105" s="1068" t="s">
        <v>1599</v>
      </c>
      <c r="E105" s="1139">
        <v>0.2</v>
      </c>
      <c r="F105" s="1154">
        <v>30</v>
      </c>
    </row>
    <row r="106" spans="1:6" s="1105" customFormat="1" ht="36">
      <c r="A106" s="1154">
        <v>46</v>
      </c>
      <c r="B106" s="3718"/>
      <c r="C106" s="1154" t="s">
        <v>1600</v>
      </c>
      <c r="D106" s="1068" t="s">
        <v>1601</v>
      </c>
      <c r="E106" s="1139">
        <v>0.2</v>
      </c>
      <c r="F106" s="1154">
        <v>30</v>
      </c>
    </row>
    <row r="107" spans="1:6" s="1105" customFormat="1" ht="36">
      <c r="A107" s="1154">
        <v>47</v>
      </c>
      <c r="B107" s="3718" t="s">
        <v>1602</v>
      </c>
      <c r="C107" s="1154" t="s">
        <v>1603</v>
      </c>
      <c r="D107" s="1068" t="s">
        <v>1604</v>
      </c>
      <c r="E107" s="1139">
        <v>0.3</v>
      </c>
      <c r="F107" s="1154">
        <v>50</v>
      </c>
    </row>
    <row r="108" spans="1:6" s="1105" customFormat="1" ht="36">
      <c r="A108" s="1154">
        <v>48</v>
      </c>
      <c r="B108" s="3718"/>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18" t="s">
        <v>1613</v>
      </c>
      <c r="C111" s="1154" t="s">
        <v>1614</v>
      </c>
      <c r="D111" s="1068" t="s">
        <v>1615</v>
      </c>
      <c r="E111" s="1139">
        <v>0.2</v>
      </c>
      <c r="F111" s="1154">
        <v>30</v>
      </c>
    </row>
    <row r="112" spans="1:6" s="1105" customFormat="1" ht="24">
      <c r="A112" s="1154">
        <v>52</v>
      </c>
      <c r="B112" s="3718"/>
      <c r="C112" s="1154" t="s">
        <v>1616</v>
      </c>
      <c r="D112" s="1068" t="s">
        <v>1617</v>
      </c>
      <c r="E112" s="1139">
        <v>0.2</v>
      </c>
      <c r="F112" s="1154">
        <v>30</v>
      </c>
    </row>
    <row r="113" spans="1:14" s="1105" customFormat="1" ht="24">
      <c r="A113" s="1154">
        <v>53</v>
      </c>
      <c r="B113" s="3718"/>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18" t="s">
        <v>1626</v>
      </c>
      <c r="C116" s="1154" t="s">
        <v>1627</v>
      </c>
      <c r="D116" s="1068" t="s">
        <v>1628</v>
      </c>
      <c r="E116" s="1139">
        <v>0.2</v>
      </c>
      <c r="F116" s="1154">
        <v>30</v>
      </c>
    </row>
    <row r="117" spans="1:14" ht="36">
      <c r="A117" s="1154">
        <v>57</v>
      </c>
      <c r="B117" s="3718"/>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17" t="s">
        <v>1635</v>
      </c>
      <c r="B121" s="3717"/>
      <c r="C121" s="3717"/>
      <c r="D121" s="3717"/>
      <c r="E121" s="3717"/>
      <c r="F121" s="3717"/>
      <c r="G121" s="3717"/>
      <c r="H121" s="3717"/>
      <c r="I121" s="3717"/>
      <c r="J121" s="371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2" t="s">
        <v>1041</v>
      </c>
      <c r="B1" s="3722"/>
      <c r="C1" s="3722"/>
      <c r="D1" s="3722"/>
      <c r="E1" s="3722"/>
      <c r="F1" s="3722"/>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23" t="s">
        <v>1054</v>
      </c>
      <c r="B2" s="3723"/>
      <c r="C2" s="3723"/>
      <c r="D2" s="3723"/>
      <c r="E2" s="3723"/>
      <c r="F2" s="3723"/>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24"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25"/>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26" t="s">
        <v>2083</v>
      </c>
      <c r="B1" s="3726"/>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2961</v>
      </c>
      <c r="B1" s="3137"/>
      <c r="C1" s="3137"/>
      <c r="D1" s="3137"/>
      <c r="E1" s="3137"/>
      <c r="F1" s="3137"/>
    </row>
    <row r="2" spans="1:6" ht="14.25">
      <c r="A2" s="3138" t="s">
        <v>2955</v>
      </c>
      <c r="B2" s="3139" t="e">
        <f ca="1">SUMIF(B7:B14,"&lt;&gt;#ref!",B7:B14)</f>
        <v>#DIV/0!</v>
      </c>
      <c r="C2" s="3138" t="s">
        <v>2956</v>
      </c>
      <c r="D2" s="3137"/>
      <c r="E2" s="3137"/>
      <c r="F2" s="3137"/>
    </row>
    <row r="3" spans="1:6" ht="14.25">
      <c r="A3" s="3138" t="s">
        <v>2958</v>
      </c>
      <c r="B3" s="3139" t="e">
        <f ca="1">ROUND(B2*10000/E3,0)</f>
        <v>#DIV/0!</v>
      </c>
      <c r="C3" s="3138" t="s">
        <v>2082</v>
      </c>
      <c r="D3" s="3138" t="s">
        <v>2957</v>
      </c>
      <c r="E3" s="3139" t="e">
        <f ca="1">SUM(E7:E14)</f>
        <v>#REF!</v>
      </c>
      <c r="F3" s="3137"/>
    </row>
    <row r="4" spans="1:6" ht="14.25">
      <c r="A4" s="3138" t="s">
        <v>2965</v>
      </c>
      <c r="B4" s="3139" t="e">
        <f ca="1">ROUND(B2*10000/E4,0)</f>
        <v>#DIV/0!</v>
      </c>
      <c r="C4" s="3138" t="s">
        <v>2082</v>
      </c>
      <c r="D4" s="3138" t="s">
        <v>2966</v>
      </c>
      <c r="E4" s="3139" t="e">
        <f ca="1">SUM(F7:F14)</f>
        <v>#REF!</v>
      </c>
      <c r="F4" s="3137"/>
    </row>
    <row r="5" spans="1:6" ht="14.25">
      <c r="A5" s="3140"/>
      <c r="B5" s="1883"/>
      <c r="C5" s="1883"/>
      <c r="D5" s="1883"/>
      <c r="E5" s="1883"/>
      <c r="F5" s="3137"/>
    </row>
    <row r="6" spans="1:6" ht="28.5">
      <c r="A6" s="3141" t="s">
        <v>2962</v>
      </c>
      <c r="B6" s="3138" t="s">
        <v>2959</v>
      </c>
      <c r="C6" s="3139"/>
      <c r="D6" s="1883"/>
      <c r="E6" s="3138" t="s">
        <v>2960</v>
      </c>
      <c r="F6" s="3138" t="s">
        <v>2964</v>
      </c>
    </row>
    <row r="7" spans="1:6" ht="14.25">
      <c r="A7" s="260" t="s">
        <v>2963</v>
      </c>
      <c r="B7" s="3142" t="e">
        <f ca="1">SUMIF(INDIRECT("'"&amp;A7&amp;"'"&amp;"!A:A"),"总价",INDIRECT("'"&amp;A7&amp;"'"&amp;"!B:B"))</f>
        <v>#DIV/0!</v>
      </c>
      <c r="C7" s="3138" t="s">
        <v>2956</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2956</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2956</v>
      </c>
      <c r="D9" s="1883"/>
      <c r="E9" s="3143" t="e">
        <f t="shared" ca="1" si="1"/>
        <v>#REF!</v>
      </c>
      <c r="F9" s="3143" t="e">
        <f t="shared" ca="1" si="2"/>
        <v>#REF!</v>
      </c>
    </row>
    <row r="10" spans="1:6" ht="14.25">
      <c r="A10" s="260"/>
      <c r="B10" s="3142" t="e">
        <f t="shared" ca="1" si="0"/>
        <v>#REF!</v>
      </c>
      <c r="C10" s="3138" t="s">
        <v>2956</v>
      </c>
      <c r="D10" s="1883"/>
      <c r="E10" s="3143" t="e">
        <f t="shared" ca="1" si="1"/>
        <v>#REF!</v>
      </c>
      <c r="F10" s="3143" t="e">
        <f t="shared" ca="1" si="2"/>
        <v>#REF!</v>
      </c>
    </row>
    <row r="11" spans="1:6" ht="14.25">
      <c r="A11" s="260"/>
      <c r="B11" s="3142" t="e">
        <f t="shared" ca="1" si="0"/>
        <v>#REF!</v>
      </c>
      <c r="C11" s="3138" t="s">
        <v>2956</v>
      </c>
      <c r="D11" s="1883"/>
      <c r="E11" s="3143" t="e">
        <f t="shared" ca="1" si="1"/>
        <v>#REF!</v>
      </c>
      <c r="F11" s="3143" t="e">
        <f t="shared" ca="1" si="2"/>
        <v>#REF!</v>
      </c>
    </row>
    <row r="12" spans="1:6" ht="14.25">
      <c r="A12" s="260"/>
      <c r="B12" s="3142" t="e">
        <f t="shared" ca="1" si="0"/>
        <v>#REF!</v>
      </c>
      <c r="C12" s="3138" t="s">
        <v>2956</v>
      </c>
      <c r="D12" s="1883"/>
      <c r="E12" s="3143" t="e">
        <f t="shared" ca="1" si="1"/>
        <v>#REF!</v>
      </c>
      <c r="F12" s="3143" t="e">
        <f t="shared" ca="1" si="2"/>
        <v>#REF!</v>
      </c>
    </row>
    <row r="13" spans="1:6" ht="14.25">
      <c r="A13" s="260"/>
      <c r="B13" s="3142" t="e">
        <f t="shared" ca="1" si="0"/>
        <v>#REF!</v>
      </c>
      <c r="C13" s="3138" t="s">
        <v>2956</v>
      </c>
      <c r="D13" s="1883"/>
      <c r="E13" s="3143" t="e">
        <f t="shared" ca="1" si="1"/>
        <v>#REF!</v>
      </c>
      <c r="F13" s="3143" t="e">
        <f t="shared" ca="1" si="2"/>
        <v>#REF!</v>
      </c>
    </row>
    <row r="14" spans="1:6" ht="14.25">
      <c r="A14" s="3136"/>
      <c r="B14" s="3142" t="e">
        <f t="shared" ca="1" si="0"/>
        <v>#REF!</v>
      </c>
      <c r="C14" s="3138" t="s">
        <v>2956</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487" t="str">
        <f>项目基本情况!B1</f>
        <v>出让国有建设用地使用权抵押价格预评估</v>
      </c>
      <c r="C37" s="3487"/>
      <c r="D37" s="3487"/>
      <c r="E37" s="3487"/>
      <c r="F37" s="3487"/>
      <c r="G37" s="3487"/>
      <c r="H37" s="3487"/>
      <c r="I37" s="3487"/>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M20" sqref="M20"/>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2379</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2" t="s">
        <v>2467</v>
      </c>
      <c r="E7" s="2516"/>
      <c r="F7" s="2517"/>
      <c r="G7" s="1593"/>
      <c r="H7" s="781">
        <v>1</v>
      </c>
      <c r="I7" s="782" t="s">
        <v>2464</v>
      </c>
      <c r="J7" s="53">
        <f ca="1">J8+J12+J14</f>
        <v>0</v>
      </c>
      <c r="K7" s="2522" t="s">
        <v>2467</v>
      </c>
      <c r="L7" s="2516"/>
      <c r="M7" s="2517"/>
    </row>
    <row r="8" spans="1:25" ht="18" customHeight="1">
      <c r="A8" s="1832" t="s">
        <v>1826</v>
      </c>
      <c r="B8" s="3728" t="s">
        <v>2469</v>
      </c>
      <c r="C8" s="1827">
        <f ca="1">ROUND(F8*F10*F9*(1-F11)/10000,0)</f>
        <v>0</v>
      </c>
      <c r="D8" s="1824" t="s">
        <v>2541</v>
      </c>
      <c r="E8" s="61" t="s">
        <v>638</v>
      </c>
      <c r="F8" s="785">
        <f ca="1">INDIRECT("'数据-取费表'!u"&amp;$G$1)</f>
        <v>0</v>
      </c>
      <c r="G8" s="1593"/>
      <c r="H8" s="2530" t="s">
        <v>1826</v>
      </c>
      <c r="I8" s="3728" t="s">
        <v>2469</v>
      </c>
      <c r="J8" s="783">
        <f ca="1">ROUND(M8*M10*M9*(1-M11)/10000,0)</f>
        <v>0</v>
      </c>
      <c r="K8" s="341" t="s">
        <v>2541</v>
      </c>
      <c r="L8" s="784" t="s">
        <v>1740</v>
      </c>
      <c r="M8" s="785">
        <f ca="1">INDIRECT("'数据-取费表'!z"&amp;$G$1)</f>
        <v>0</v>
      </c>
    </row>
    <row r="9" spans="1:25" ht="18" customHeight="1">
      <c r="A9" s="2526"/>
      <c r="B9" s="3729"/>
      <c r="C9" s="1828"/>
      <c r="D9" s="1825"/>
      <c r="E9" s="61" t="s">
        <v>639</v>
      </c>
      <c r="F9" s="785">
        <f ca="1">IF(INDIRECT("'数据-取费表'!ah"&amp;$G$1)="",INDIRECT("'数据-取费表'!k"&amp;$G$1),INDIRECT("'数据-取费表'!ah"&amp;$G$1))</f>
        <v>0</v>
      </c>
      <c r="G9" s="1593"/>
      <c r="H9" s="2515"/>
      <c r="I9" s="3729"/>
      <c r="J9" s="788"/>
      <c r="K9" s="789"/>
      <c r="L9" s="784" t="s">
        <v>1741</v>
      </c>
      <c r="M9" s="785">
        <f ca="1">F9</f>
        <v>0</v>
      </c>
    </row>
    <row r="10" spans="1:25" ht="18" customHeight="1">
      <c r="A10" s="2519"/>
      <c r="B10" s="3730"/>
      <c r="C10" s="1828"/>
      <c r="D10" s="1825"/>
      <c r="E10" s="61" t="s">
        <v>640</v>
      </c>
      <c r="F10" s="785">
        <f ca="1">INDIRECT("'数据-取费表'!ai"&amp;$G$1)</f>
        <v>0</v>
      </c>
      <c r="G10" s="1593"/>
      <c r="H10" s="2515"/>
      <c r="I10" s="3730"/>
      <c r="J10" s="788"/>
      <c r="K10" s="789"/>
      <c r="L10" s="784" t="s">
        <v>1742</v>
      </c>
      <c r="M10" s="785">
        <f ca="1">INDIRECT("'数据-取费表'!ai"&amp;$G$1)</f>
        <v>0</v>
      </c>
    </row>
    <row r="11" spans="1:25" ht="18" customHeight="1">
      <c r="A11" s="786"/>
      <c r="B11" s="3731"/>
      <c r="C11" s="1828"/>
      <c r="D11" s="1825"/>
      <c r="E11" s="61" t="s">
        <v>641</v>
      </c>
      <c r="F11" s="794">
        <f ca="1">INDIRECT("'数据-取费表'!w"&amp;$G$1)</f>
        <v>0</v>
      </c>
      <c r="G11" s="1593"/>
      <c r="H11" s="2531"/>
      <c r="I11" s="3730"/>
      <c r="J11" s="788"/>
      <c r="K11" s="789"/>
      <c r="L11" s="795" t="s">
        <v>1743</v>
      </c>
      <c r="M11" s="796">
        <f ca="1">INDIRECT("'数据-取费表'!ab"&amp;$G$1)</f>
        <v>0</v>
      </c>
    </row>
    <row r="12" spans="1:25" ht="18" customHeight="1">
      <c r="A12" s="1832" t="s">
        <v>1827</v>
      </c>
      <c r="B12" s="2520" t="s">
        <v>2465</v>
      </c>
      <c r="C12" s="799">
        <f ca="1">ROUND(IF(F12="押一",F8*F10*F9/12*F13,IF(F12="押二",F8*F10*F9/12*2*F13,IF(F12="押三",F8*F10*F9/12*3*F13,C13*F13)))/10000,0)</f>
        <v>0</v>
      </c>
      <c r="D12" s="2527" t="s">
        <v>2472</v>
      </c>
      <c r="E12" s="2524" t="s">
        <v>2470</v>
      </c>
      <c r="F12" s="2647"/>
      <c r="G12" s="1593"/>
      <c r="H12" s="2587" t="s">
        <v>1827</v>
      </c>
      <c r="I12" s="2592" t="s">
        <v>2465</v>
      </c>
      <c r="J12" s="783">
        <f ca="1">ROUND(IF(M12="押一",M8*M10*M9/12*M13,IF(M12="押二",M8*M10*M9/12*2*M13,IF(M12="押三",M8*M10*M9/12*3*M13,J13*M13)))/10000,0)</f>
        <v>0</v>
      </c>
      <c r="K12" s="2527" t="s">
        <v>2472</v>
      </c>
      <c r="L12" s="2524" t="s">
        <v>2470</v>
      </c>
      <c r="M12" s="2647"/>
    </row>
    <row r="13" spans="1:25" ht="18" customHeight="1">
      <c r="A13" s="790"/>
      <c r="B13" s="2521" t="s">
        <v>2580</v>
      </c>
      <c r="C13" s="2525"/>
      <c r="D13" s="789"/>
      <c r="E13" s="2524" t="s">
        <v>2462</v>
      </c>
      <c r="F13" s="796">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2832</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0.02</v>
      </c>
      <c r="G22" s="1594"/>
      <c r="H22" s="1834" t="s">
        <v>1852</v>
      </c>
      <c r="I22" s="1824" t="s">
        <v>669</v>
      </c>
      <c r="J22" s="54">
        <f ca="1">ROUND(M22*M23/10000,0)</f>
        <v>0</v>
      </c>
      <c r="K22" s="814" t="s">
        <v>670</v>
      </c>
      <c r="L22" s="784" t="s">
        <v>671</v>
      </c>
      <c r="M22" s="640">
        <f>'数据-取费表'!B52</f>
        <v>0</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8" t="s">
        <v>2829</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2830</v>
      </c>
      <c r="C31" s="2570">
        <f ca="1">ROUND((C21+C22+C25+C28)/(1-F23-C26-C29-C30),0)</f>
        <v>0</v>
      </c>
      <c r="D31" s="2571"/>
      <c r="E31" s="2572"/>
      <c r="F31" s="2573"/>
      <c r="G31" s="1594"/>
      <c r="H31" s="823" t="s">
        <v>1874</v>
      </c>
      <c r="I31" s="3039" t="s">
        <v>2831</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0</v>
      </c>
      <c r="G36" s="2064"/>
      <c r="H36" s="2067"/>
      <c r="I36" s="3727"/>
      <c r="J36" s="2081"/>
      <c r="K36" s="2082"/>
      <c r="L36" s="2081"/>
      <c r="M36" s="2081"/>
    </row>
    <row r="37" spans="1:18" ht="18" customHeight="1">
      <c r="A37" s="815"/>
      <c r="B37" s="793"/>
      <c r="C37" s="69"/>
      <c r="D37" s="816"/>
      <c r="E37" s="784" t="s">
        <v>675</v>
      </c>
      <c r="F37" s="785">
        <f ca="1">INDIRECT("'数据-取费表'!r"&amp;$G$1)</f>
        <v>0</v>
      </c>
      <c r="G37" s="2064"/>
      <c r="H37" s="2067"/>
      <c r="I37" s="3727"/>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6" t="s">
        <v>2974</v>
      </c>
      <c r="F43" s="3157">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5">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8" t="s">
        <v>2977</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3"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732"/>
      <c r="L54" s="3733"/>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30" t="s">
        <v>2360</v>
      </c>
      <c r="J56" s="3154"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3"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5"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2" t="s">
        <v>2953</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3">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4">
        <v>0</v>
      </c>
      <c r="O65" s="2430" t="s">
        <v>2420</v>
      </c>
      <c r="P65" s="1593"/>
      <c r="Q65" s="1605"/>
      <c r="R65" s="1593"/>
    </row>
    <row r="66" spans="1:18" s="2061" customFormat="1" ht="15.75" thickBot="1">
      <c r="A66" s="2098"/>
      <c r="B66" s="2099"/>
      <c r="C66" s="2099"/>
      <c r="I66" s="2411" t="s">
        <v>2377</v>
      </c>
      <c r="J66" s="2412">
        <v>40</v>
      </c>
      <c r="K66" s="2412">
        <v>30</v>
      </c>
      <c r="L66" s="2412">
        <v>50</v>
      </c>
      <c r="M66" s="3133">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40" t="s">
        <v>2583</v>
      </c>
      <c r="C1" s="3740"/>
      <c r="D1" s="3740"/>
      <c r="E1" s="3740"/>
      <c r="F1" s="3740"/>
      <c r="G1" s="3739" t="s">
        <v>2584</v>
      </c>
      <c r="H1" s="3739"/>
      <c r="I1" s="3739"/>
      <c r="J1" s="3739"/>
      <c r="K1" s="3739"/>
      <c r="L1" s="3739"/>
      <c r="N1" s="3739" t="s">
        <v>2585</v>
      </c>
      <c r="O1" s="3739"/>
      <c r="P1" s="3739"/>
      <c r="Q1" s="3739"/>
      <c r="R1" s="2681"/>
      <c r="S1" s="3739" t="s">
        <v>2586</v>
      </c>
      <c r="T1" s="3739"/>
      <c r="U1" s="3739"/>
      <c r="V1" s="3739"/>
      <c r="X1" s="3738" t="s">
        <v>2646</v>
      </c>
      <c r="Y1" s="3739"/>
      <c r="Z1" s="3739"/>
      <c r="AA1" s="3739"/>
      <c r="AB1" s="3739"/>
      <c r="AD1" s="3738" t="s">
        <v>2650</v>
      </c>
      <c r="AE1" s="3739"/>
      <c r="AF1" s="3739"/>
      <c r="AG1" s="3739"/>
      <c r="AH1" s="3739"/>
    </row>
    <row r="2" spans="1:34" s="2783" customFormat="1" ht="14.25" thickBot="1">
      <c r="B2" s="2791" t="s">
        <v>2587</v>
      </c>
      <c r="C2" s="2791" t="s">
        <v>2648</v>
      </c>
      <c r="D2" s="2784" t="s">
        <v>1646</v>
      </c>
      <c r="E2" s="2784" t="s">
        <v>1953</v>
      </c>
      <c r="F2" s="2791" t="s">
        <v>2649</v>
      </c>
      <c r="G2" s="2787"/>
      <c r="H2" s="2786"/>
      <c r="I2" s="2791" t="s">
        <v>2968</v>
      </c>
      <c r="J2" s="2784" t="s">
        <v>2970</v>
      </c>
      <c r="K2" s="2784" t="s">
        <v>2971</v>
      </c>
      <c r="L2" s="2791" t="s">
        <v>2972</v>
      </c>
      <c r="N2" s="2791" t="s">
        <v>2587</v>
      </c>
      <c r="O2" s="2784" t="s">
        <v>2969</v>
      </c>
      <c r="P2" s="2784" t="s">
        <v>1953</v>
      </c>
      <c r="Q2" s="2791" t="s">
        <v>2649</v>
      </c>
      <c r="R2" s="2785"/>
      <c r="S2" s="2791" t="s">
        <v>2587</v>
      </c>
      <c r="T2" s="2784" t="s">
        <v>2969</v>
      </c>
      <c r="U2" s="2784" t="s">
        <v>1953</v>
      </c>
      <c r="V2" s="2791" t="s">
        <v>2649</v>
      </c>
      <c r="X2" s="2791" t="s">
        <v>2587</v>
      </c>
      <c r="Y2" s="2791" t="s">
        <v>2648</v>
      </c>
      <c r="Z2" s="2784" t="s">
        <v>1646</v>
      </c>
      <c r="AA2" s="2784" t="s">
        <v>1953</v>
      </c>
      <c r="AB2" s="2791" t="s">
        <v>2649</v>
      </c>
      <c r="AD2" s="2791" t="s">
        <v>2587</v>
      </c>
      <c r="AE2" s="2791" t="s">
        <v>2648</v>
      </c>
      <c r="AF2" s="2784" t="s">
        <v>1646</v>
      </c>
      <c r="AG2" s="2784" t="s">
        <v>1953</v>
      </c>
      <c r="AH2" s="2791" t="s">
        <v>2649</v>
      </c>
    </row>
    <row r="3" spans="1:34" s="3168" customFormat="1" ht="14.25">
      <c r="A3" s="3180" t="s">
        <v>2982</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2981</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2983</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2979</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2984</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2588</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2589</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972</v>
      </c>
      <c r="B10" s="2688">
        <v>392</v>
      </c>
      <c r="C10" s="2688">
        <v>302</v>
      </c>
      <c r="D10" s="2688">
        <f t="shared" si="3"/>
        <v>302</v>
      </c>
      <c r="E10" s="2688">
        <v>553</v>
      </c>
      <c r="F10" s="2689">
        <v>266</v>
      </c>
      <c r="G10" s="3737">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971</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35"/>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961</v>
      </c>
      <c r="B12" s="2696">
        <f t="shared" si="28"/>
        <v>360.06949782209392</v>
      </c>
      <c r="C12" s="2696">
        <f t="shared" si="28"/>
        <v>289.84672674747821</v>
      </c>
      <c r="D12" s="2696">
        <f t="shared" si="29"/>
        <v>289.84672674747821</v>
      </c>
      <c r="E12" s="2696">
        <f t="shared" si="30"/>
        <v>501.06543001181495</v>
      </c>
      <c r="F12" s="2696">
        <f t="shared" si="30"/>
        <v>256.82882500744967</v>
      </c>
      <c r="G12" s="3735"/>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970</v>
      </c>
      <c r="B13" s="2696">
        <f t="shared" si="28"/>
        <v>346.720748986128</v>
      </c>
      <c r="C13" s="2696">
        <f t="shared" si="28"/>
        <v>284.30282172386285</v>
      </c>
      <c r="D13" s="2696">
        <f t="shared" si="29"/>
        <v>284.30282172386285</v>
      </c>
      <c r="E13" s="2696">
        <f t="shared" si="30"/>
        <v>479.58023546306947</v>
      </c>
      <c r="F13" s="2696">
        <f t="shared" si="30"/>
        <v>253.25788877571213</v>
      </c>
      <c r="G13" s="3736"/>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969</v>
      </c>
      <c r="B14" s="2688">
        <v>333</v>
      </c>
      <c r="C14" s="2688">
        <v>277</v>
      </c>
      <c r="D14" s="2688">
        <f t="shared" si="29"/>
        <v>277</v>
      </c>
      <c r="E14" s="2688">
        <v>459</v>
      </c>
      <c r="F14" s="2689">
        <v>249</v>
      </c>
      <c r="G14" s="3734">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968</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35"/>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967</v>
      </c>
      <c r="B16" s="2696">
        <f t="shared" si="32"/>
        <v>322.34053690220776</v>
      </c>
      <c r="C16" s="2696">
        <f t="shared" si="32"/>
        <v>271.46160770422546</v>
      </c>
      <c r="D16" s="2696">
        <f t="shared" si="29"/>
        <v>271.46160770422546</v>
      </c>
      <c r="E16" s="2696">
        <f t="shared" si="33"/>
        <v>442.69434542172456</v>
      </c>
      <c r="F16" s="2696">
        <f t="shared" si="33"/>
        <v>241.34030753190925</v>
      </c>
      <c r="G16" s="3735"/>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966</v>
      </c>
      <c r="B17" s="2696">
        <f t="shared" si="32"/>
        <v>319.87748030386797</v>
      </c>
      <c r="C17" s="2696">
        <f t="shared" si="32"/>
        <v>269.60135833173649</v>
      </c>
      <c r="D17" s="2696">
        <f t="shared" si="29"/>
        <v>269.60135833173649</v>
      </c>
      <c r="E17" s="2696">
        <f t="shared" si="33"/>
        <v>439.18089823583784</v>
      </c>
      <c r="F17" s="2696">
        <f t="shared" si="33"/>
        <v>239.23503918706311</v>
      </c>
      <c r="G17" s="3736"/>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965</v>
      </c>
      <c r="B18" s="2710">
        <v>318</v>
      </c>
      <c r="C18" s="2710">
        <v>268</v>
      </c>
      <c r="D18" s="2710">
        <f t="shared" si="29"/>
        <v>268</v>
      </c>
      <c r="E18" s="2710">
        <v>437</v>
      </c>
      <c r="F18" s="2711">
        <v>237</v>
      </c>
      <c r="G18" s="3734">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964</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35"/>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963</v>
      </c>
      <c r="B20" s="2696">
        <f t="shared" si="34"/>
        <v>314.72141172386546</v>
      </c>
      <c r="C20" s="2696">
        <f t="shared" si="34"/>
        <v>263.03901319069001</v>
      </c>
      <c r="D20" s="2696">
        <f t="shared" si="29"/>
        <v>263.03901319069001</v>
      </c>
      <c r="E20" s="2696">
        <f t="shared" si="35"/>
        <v>433.65745506782821</v>
      </c>
      <c r="F20" s="2696">
        <f t="shared" si="35"/>
        <v>233.23005080045735</v>
      </c>
      <c r="G20" s="3735"/>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962</v>
      </c>
      <c r="B21" s="2715">
        <f t="shared" si="34"/>
        <v>307.34512863658733</v>
      </c>
      <c r="C21" s="2715">
        <f t="shared" si="34"/>
        <v>257.80556031626975</v>
      </c>
      <c r="D21" s="2715">
        <f t="shared" si="29"/>
        <v>257.80556031626975</v>
      </c>
      <c r="E21" s="2715">
        <f t="shared" si="35"/>
        <v>422.70928459677179</v>
      </c>
      <c r="F21" s="2715">
        <f t="shared" si="35"/>
        <v>229.73803270336617</v>
      </c>
      <c r="G21" s="3736"/>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2647</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2590</v>
      </c>
      <c r="B22" s="2688">
        <v>299</v>
      </c>
      <c r="C22" s="2688">
        <v>252</v>
      </c>
      <c r="D22" s="2688">
        <f t="shared" si="29"/>
        <v>252</v>
      </c>
      <c r="E22" s="2688">
        <v>409</v>
      </c>
      <c r="F22" s="2689">
        <v>227</v>
      </c>
      <c r="G22" s="3741">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2591</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42"/>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2592</v>
      </c>
      <c r="B24" s="2696">
        <f t="shared" si="38"/>
        <v>288.2649053828776</v>
      </c>
      <c r="C24" s="2696">
        <f t="shared" si="38"/>
        <v>243.64564425013293</v>
      </c>
      <c r="D24" s="2696">
        <f t="shared" si="29"/>
        <v>243.64564425013293</v>
      </c>
      <c r="E24" s="2696">
        <f t="shared" si="39"/>
        <v>393.31080825986544</v>
      </c>
      <c r="F24" s="2696">
        <f t="shared" si="39"/>
        <v>223.07903790551154</v>
      </c>
      <c r="G24" s="3742"/>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2593</v>
      </c>
      <c r="B25" s="2696">
        <f t="shared" si="38"/>
        <v>282.50186729015837</v>
      </c>
      <c r="C25" s="2696">
        <f t="shared" si="38"/>
        <v>238.09796174155468</v>
      </c>
      <c r="D25" s="2696">
        <f t="shared" si="29"/>
        <v>238.09796174155468</v>
      </c>
      <c r="E25" s="2696">
        <f t="shared" si="39"/>
        <v>385.33438646014054</v>
      </c>
      <c r="F25" s="2696">
        <f t="shared" si="39"/>
        <v>221.55034055567739</v>
      </c>
      <c r="G25" s="3743"/>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2594</v>
      </c>
      <c r="B26" s="2726">
        <v>278</v>
      </c>
      <c r="C26" s="2726">
        <v>234</v>
      </c>
      <c r="D26" s="2726">
        <f t="shared" si="29"/>
        <v>234</v>
      </c>
      <c r="E26" s="2726">
        <v>379</v>
      </c>
      <c r="F26" s="2727">
        <v>220</v>
      </c>
      <c r="G26" s="3734">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2595</v>
      </c>
      <c r="B27" s="2696">
        <f>B26/(1+N26)</f>
        <v>275.49301357645425</v>
      </c>
      <c r="C27" s="2696">
        <f>C26/(1+O26)</f>
        <v>232.41954707985698</v>
      </c>
      <c r="D27" s="2696">
        <f t="shared" si="29"/>
        <v>232.41954707985698</v>
      </c>
      <c r="E27" s="2696">
        <f t="shared" ref="E27:F29" si="40">E26/(1+P26)</f>
        <v>375.32184591008121</v>
      </c>
      <c r="F27" s="2696">
        <f t="shared" si="40"/>
        <v>218.03766105054513</v>
      </c>
      <c r="G27" s="3735"/>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2596</v>
      </c>
      <c r="B28" s="2696">
        <f>B27/(1+N27)</f>
        <v>275.24529281292263</v>
      </c>
      <c r="C28" s="2696">
        <f>C27/(1+O27)</f>
        <v>231.74747938962707</v>
      </c>
      <c r="D28" s="2696">
        <f t="shared" si="29"/>
        <v>231.74747938962707</v>
      </c>
      <c r="E28" s="2696">
        <f t="shared" si="40"/>
        <v>375.35938184826603</v>
      </c>
      <c r="F28" s="2696">
        <f t="shared" si="40"/>
        <v>216.78033510692495</v>
      </c>
      <c r="G28" s="3735"/>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2597</v>
      </c>
      <c r="B29" s="2696">
        <f>B28/(1+N28)</f>
        <v>275.19025476197027</v>
      </c>
      <c r="C29" s="2728">
        <v>232</v>
      </c>
      <c r="D29" s="2728">
        <f t="shared" si="29"/>
        <v>232</v>
      </c>
      <c r="E29" s="2696">
        <f t="shared" si="40"/>
        <v>375.65990977608692</v>
      </c>
      <c r="F29" s="2696">
        <f t="shared" si="40"/>
        <v>214.12518283971252</v>
      </c>
      <c r="G29" s="3736"/>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2598</v>
      </c>
      <c r="B30" s="2688">
        <v>275</v>
      </c>
      <c r="C30" s="2688">
        <v>232</v>
      </c>
      <c r="D30" s="2688">
        <f t="shared" si="29"/>
        <v>232</v>
      </c>
      <c r="E30" s="2688">
        <v>376</v>
      </c>
      <c r="F30" s="2689">
        <v>213</v>
      </c>
      <c r="G30" s="3734">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2599</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35">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2600</v>
      </c>
      <c r="B32" s="2696">
        <f t="shared" si="41"/>
        <v>275.19335084830601</v>
      </c>
      <c r="C32" s="2696">
        <f t="shared" si="41"/>
        <v>230.18088050139744</v>
      </c>
      <c r="D32" s="2696">
        <f t="shared" si="29"/>
        <v>230.18088050139744</v>
      </c>
      <c r="E32" s="2696">
        <f t="shared" si="42"/>
        <v>377.58482925212331</v>
      </c>
      <c r="F32" s="2696">
        <f t="shared" si="42"/>
        <v>210.90687997847917</v>
      </c>
      <c r="G32" s="3735">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2601</v>
      </c>
      <c r="B33" s="2696">
        <f t="shared" si="41"/>
        <v>276.29854502841971</v>
      </c>
      <c r="C33" s="2696">
        <f t="shared" si="41"/>
        <v>229.79023709833027</v>
      </c>
      <c r="D33" s="2696">
        <f t="shared" si="29"/>
        <v>229.79023709833027</v>
      </c>
      <c r="E33" s="2696">
        <f t="shared" si="42"/>
        <v>379.78759731655936</v>
      </c>
      <c r="F33" s="2696">
        <f t="shared" si="42"/>
        <v>211.32953905659235</v>
      </c>
      <c r="G33" s="3736">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2602</v>
      </c>
      <c r="B34" s="2688">
        <v>269</v>
      </c>
      <c r="C34" s="2688">
        <v>221</v>
      </c>
      <c r="D34" s="2688">
        <f t="shared" si="29"/>
        <v>221</v>
      </c>
      <c r="E34" s="2688">
        <v>373</v>
      </c>
      <c r="F34" s="2689">
        <v>196</v>
      </c>
      <c r="G34" s="3734">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2603</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35">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2604</v>
      </c>
      <c r="B36" s="2696">
        <f t="shared" si="43"/>
        <v>242.95398227588385</v>
      </c>
      <c r="C36" s="2696">
        <f t="shared" si="43"/>
        <v>199.59137053614126</v>
      </c>
      <c r="D36" s="2696">
        <f t="shared" si="29"/>
        <v>199.59137053614126</v>
      </c>
      <c r="E36" s="2696">
        <f t="shared" si="44"/>
        <v>335.92189522342125</v>
      </c>
      <c r="F36" s="2696">
        <f t="shared" si="44"/>
        <v>183.10139991109489</v>
      </c>
      <c r="G36" s="3735">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2605</v>
      </c>
      <c r="B37" s="2696">
        <f t="shared" si="43"/>
        <v>232.06990378821649</v>
      </c>
      <c r="C37" s="2696">
        <f t="shared" si="43"/>
        <v>192.74878854286936</v>
      </c>
      <c r="D37" s="2696">
        <f t="shared" si="29"/>
        <v>192.74878854286936</v>
      </c>
      <c r="E37" s="2696">
        <f t="shared" si="44"/>
        <v>319.71247284992984</v>
      </c>
      <c r="F37" s="2696">
        <f t="shared" si="44"/>
        <v>175.67053622862409</v>
      </c>
      <c r="G37" s="3736">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2606</v>
      </c>
      <c r="B38" s="2688">
        <v>220</v>
      </c>
      <c r="C38" s="2688">
        <v>187</v>
      </c>
      <c r="D38" s="2688">
        <f t="shared" si="29"/>
        <v>187</v>
      </c>
      <c r="E38" s="2688">
        <v>301</v>
      </c>
      <c r="F38" s="2689">
        <v>168</v>
      </c>
      <c r="G38" s="3734">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2607</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35">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2608</v>
      </c>
      <c r="B40" s="2696">
        <f t="shared" si="45"/>
        <v>210.630522469011</v>
      </c>
      <c r="C40" s="2696">
        <f t="shared" si="45"/>
        <v>181.69567812247232</v>
      </c>
      <c r="D40" s="2696">
        <f t="shared" si="29"/>
        <v>181.69567812247232</v>
      </c>
      <c r="E40" s="2696">
        <f t="shared" si="46"/>
        <v>286.13517466736738</v>
      </c>
      <c r="F40" s="2696">
        <f t="shared" si="46"/>
        <v>165.47535084591149</v>
      </c>
      <c r="G40" s="3735">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2609</v>
      </c>
      <c r="B41" s="2696">
        <f t="shared" si="45"/>
        <v>208.83454537875372</v>
      </c>
      <c r="C41" s="2696">
        <f t="shared" si="45"/>
        <v>183.77230517090351</v>
      </c>
      <c r="D41" s="2696">
        <f t="shared" si="29"/>
        <v>183.77230517090351</v>
      </c>
      <c r="E41" s="2696">
        <f t="shared" si="46"/>
        <v>281.10342338870947</v>
      </c>
      <c r="F41" s="2696">
        <f t="shared" si="46"/>
        <v>168.97309388942256</v>
      </c>
      <c r="G41" s="3736">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2610</v>
      </c>
      <c r="B42" s="2726">
        <v>214</v>
      </c>
      <c r="C42" s="2726">
        <v>188</v>
      </c>
      <c r="D42" s="2726">
        <f t="shared" si="29"/>
        <v>188</v>
      </c>
      <c r="E42" s="2726">
        <v>289</v>
      </c>
      <c r="F42" s="2727">
        <v>166</v>
      </c>
      <c r="G42" s="3734">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2611</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35">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2612</v>
      </c>
      <c r="B44" s="2696">
        <f t="shared" si="47"/>
        <v>206.31694671589116</v>
      </c>
      <c r="C44" s="2696">
        <f t="shared" si="47"/>
        <v>183.61041121036101</v>
      </c>
      <c r="D44" s="2696">
        <f t="shared" si="29"/>
        <v>183.61041121036101</v>
      </c>
      <c r="E44" s="2696">
        <f t="shared" si="48"/>
        <v>276.66850301795557</v>
      </c>
      <c r="F44" s="2696">
        <f t="shared" si="48"/>
        <v>165.1360938278614</v>
      </c>
      <c r="G44" s="3735">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2613</v>
      </c>
      <c r="B45" s="2729">
        <f t="shared" si="47"/>
        <v>196.62341248059772</v>
      </c>
      <c r="C45" s="2729">
        <f t="shared" si="47"/>
        <v>170.99125648199012</v>
      </c>
      <c r="D45" s="2729">
        <f t="shared" si="29"/>
        <v>170.99125648199012</v>
      </c>
      <c r="E45" s="2729">
        <f t="shared" si="48"/>
        <v>266.07857570490052</v>
      </c>
      <c r="F45" s="2729">
        <f t="shared" si="48"/>
        <v>154.53499328828505</v>
      </c>
      <c r="G45" s="3736">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2614</v>
      </c>
      <c r="B46" s="2688">
        <v>188</v>
      </c>
      <c r="C46" s="2688">
        <v>165</v>
      </c>
      <c r="D46" s="2688">
        <f t="shared" si="29"/>
        <v>165</v>
      </c>
      <c r="E46" s="2688">
        <v>254</v>
      </c>
      <c r="F46" s="2689">
        <v>148</v>
      </c>
      <c r="G46" s="3734">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2615</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35">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2616</v>
      </c>
      <c r="B48" s="2696">
        <f t="shared" si="51"/>
        <v>168.82017748715555</v>
      </c>
      <c r="C48" s="2696">
        <f t="shared" si="51"/>
        <v>148.06267029972753</v>
      </c>
      <c r="D48" s="2696">
        <f t="shared" si="29"/>
        <v>148.06267029972753</v>
      </c>
      <c r="E48" s="2696">
        <f t="shared" si="52"/>
        <v>216.46288379323747</v>
      </c>
      <c r="F48" s="2696">
        <f t="shared" si="52"/>
        <v>134.23529411764704</v>
      </c>
      <c r="G48" s="3735">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2617</v>
      </c>
      <c r="B49" s="2696">
        <f t="shared" si="51"/>
        <v>163.84913591779542</v>
      </c>
      <c r="C49" s="2696">
        <f t="shared" si="51"/>
        <v>145.0283378746594</v>
      </c>
      <c r="D49" s="2696">
        <f t="shared" si="29"/>
        <v>145.0283378746594</v>
      </c>
      <c r="E49" s="2696">
        <f t="shared" si="52"/>
        <v>204.95180722891567</v>
      </c>
      <c r="F49" s="2696">
        <f t="shared" si="52"/>
        <v>125.95920303605313</v>
      </c>
      <c r="G49" s="3736">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2618</v>
      </c>
      <c r="B50" s="2710">
        <v>159</v>
      </c>
      <c r="C50" s="2710">
        <v>141</v>
      </c>
      <c r="D50" s="2710">
        <f t="shared" si="29"/>
        <v>141</v>
      </c>
      <c r="E50" s="2710">
        <v>195</v>
      </c>
      <c r="F50" s="2711">
        <v>122</v>
      </c>
      <c r="G50" s="3734">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2619</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35">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2620</v>
      </c>
      <c r="B52" s="2696">
        <f t="shared" si="55"/>
        <v>146.57412060301507</v>
      </c>
      <c r="C52" s="2696">
        <f t="shared" si="55"/>
        <v>136.46831955922866</v>
      </c>
      <c r="D52" s="2696">
        <f t="shared" si="29"/>
        <v>136.46831955922866</v>
      </c>
      <c r="E52" s="2696">
        <f t="shared" si="56"/>
        <v>166.73864894795128</v>
      </c>
      <c r="F52" s="2696">
        <f t="shared" si="56"/>
        <v>115.05882352941177</v>
      </c>
      <c r="G52" s="3735">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2621</v>
      </c>
      <c r="B53" s="2696">
        <f t="shared" si="55"/>
        <v>144.04145728643215</v>
      </c>
      <c r="C53" s="2696">
        <f t="shared" si="55"/>
        <v>136.12396694214877</v>
      </c>
      <c r="D53" s="2696">
        <f t="shared" si="29"/>
        <v>136.12396694214877</v>
      </c>
      <c r="E53" s="2696">
        <f t="shared" si="56"/>
        <v>158.32225913621264</v>
      </c>
      <c r="F53" s="2696">
        <f t="shared" si="56"/>
        <v>114.04278074866311</v>
      </c>
      <c r="G53" s="3736">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2622</v>
      </c>
      <c r="B54" s="2710">
        <v>138</v>
      </c>
      <c r="C54" s="2710">
        <v>131</v>
      </c>
      <c r="D54" s="2710">
        <f t="shared" si="29"/>
        <v>131</v>
      </c>
      <c r="E54" s="2710">
        <v>155</v>
      </c>
      <c r="F54" s="2711">
        <v>114</v>
      </c>
      <c r="G54" s="3734">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2623</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35">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2624</v>
      </c>
      <c r="B56" s="2696">
        <f t="shared" si="59"/>
        <v>124.29032258064517</v>
      </c>
      <c r="C56" s="2696">
        <f t="shared" si="59"/>
        <v>123.8968609865471</v>
      </c>
      <c r="D56" s="2696">
        <f t="shared" si="29"/>
        <v>123.8968609865471</v>
      </c>
      <c r="E56" s="2696">
        <f t="shared" si="60"/>
        <v>138.00507614213197</v>
      </c>
      <c r="F56" s="2696">
        <f t="shared" si="60"/>
        <v>107.96106557377048</v>
      </c>
      <c r="G56" s="3735">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2625</v>
      </c>
      <c r="B57" s="2696">
        <f t="shared" si="59"/>
        <v>122.57204301075269</v>
      </c>
      <c r="C57" s="2696">
        <f t="shared" si="59"/>
        <v>123.4932735426009</v>
      </c>
      <c r="D57" s="2696">
        <f t="shared" si="29"/>
        <v>123.4932735426009</v>
      </c>
      <c r="E57" s="2696">
        <f t="shared" si="60"/>
        <v>129.82233502538071</v>
      </c>
      <c r="F57" s="2696">
        <f t="shared" si="60"/>
        <v>107.39446721311475</v>
      </c>
      <c r="G57" s="3736">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2626</v>
      </c>
      <c r="B58" s="2726">
        <v>121</v>
      </c>
      <c r="C58" s="2726">
        <v>122</v>
      </c>
      <c r="D58" s="2726">
        <f t="shared" si="29"/>
        <v>122</v>
      </c>
      <c r="E58" s="2726">
        <v>124</v>
      </c>
      <c r="F58" s="2727">
        <v>107</v>
      </c>
      <c r="G58" s="3734">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2627</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35">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2628</v>
      </c>
      <c r="B60" s="2696">
        <f t="shared" si="63"/>
        <v>116.99099099099099</v>
      </c>
      <c r="C60" s="2696">
        <f t="shared" si="63"/>
        <v>118.84848484848486</v>
      </c>
      <c r="D60" s="2696">
        <f t="shared" si="29"/>
        <v>118.84848484848486</v>
      </c>
      <c r="E60" s="2696">
        <f t="shared" si="64"/>
        <v>117.60960960960961</v>
      </c>
      <c r="F60" s="2696">
        <f t="shared" si="64"/>
        <v>104</v>
      </c>
      <c r="G60" s="3735">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2629</v>
      </c>
      <c r="B61" s="2729">
        <f t="shared" si="63"/>
        <v>112.48648648648648</v>
      </c>
      <c r="C61" s="2729">
        <f t="shared" si="63"/>
        <v>115.21212121212122</v>
      </c>
      <c r="D61" s="2729">
        <f t="shared" si="29"/>
        <v>115.21212121212122</v>
      </c>
      <c r="E61" s="2729">
        <f t="shared" si="64"/>
        <v>110.4024024024024</v>
      </c>
      <c r="F61" s="2729">
        <f t="shared" si="64"/>
        <v>104</v>
      </c>
      <c r="G61" s="3736">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2630</v>
      </c>
      <c r="B62" s="2747">
        <v>111</v>
      </c>
      <c r="C62" s="2747">
        <v>114</v>
      </c>
      <c r="D62" s="2747">
        <f t="shared" si="29"/>
        <v>114</v>
      </c>
      <c r="E62" s="2747">
        <v>108</v>
      </c>
      <c r="F62" s="2748">
        <v>104</v>
      </c>
      <c r="G62" s="3734">
        <v>2003</v>
      </c>
      <c r="H62" s="2737">
        <v>4</v>
      </c>
      <c r="I62" s="2749"/>
      <c r="J62" s="2749"/>
      <c r="K62" s="2749"/>
      <c r="L62" s="2749"/>
      <c r="N62" s="2750"/>
      <c r="O62" s="2749"/>
      <c r="P62" s="2749"/>
      <c r="Q62" s="2749"/>
      <c r="S62" s="2750"/>
      <c r="T62" s="2749"/>
      <c r="U62" s="2749"/>
      <c r="V62" s="2749"/>
      <c r="X62" s="2741"/>
      <c r="Y62" s="2741"/>
      <c r="Z62" s="2741"/>
    </row>
    <row r="63" spans="1:26">
      <c r="A63" s="2682" t="s">
        <v>2631</v>
      </c>
      <c r="B63" s="2751">
        <f t="shared" ref="B63:C65" si="65">B64+(B$62-B$66)/4</f>
        <v>109.75</v>
      </c>
      <c r="C63" s="2751">
        <f t="shared" si="65"/>
        <v>112.25</v>
      </c>
      <c r="D63" s="2751">
        <f t="shared" si="29"/>
        <v>112.25</v>
      </c>
      <c r="E63" s="2751">
        <f t="shared" ref="E63:F65" si="66">E64+(E$62-E$66)/4</f>
        <v>107.25</v>
      </c>
      <c r="F63" s="2751">
        <f t="shared" si="66"/>
        <v>103.5</v>
      </c>
      <c r="G63" s="3735">
        <v>2003</v>
      </c>
      <c r="H63" s="2707">
        <v>3</v>
      </c>
      <c r="I63" s="2749"/>
      <c r="J63" s="2749"/>
      <c r="K63" s="2749"/>
      <c r="L63" s="2749"/>
      <c r="X63" s="2741"/>
      <c r="Y63" s="2741"/>
      <c r="Z63" s="2741"/>
    </row>
    <row r="64" spans="1:26">
      <c r="A64" s="2682" t="s">
        <v>2632</v>
      </c>
      <c r="B64" s="2751">
        <f t="shared" si="65"/>
        <v>108.5</v>
      </c>
      <c r="C64" s="2751">
        <f t="shared" si="65"/>
        <v>110.5</v>
      </c>
      <c r="D64" s="2751">
        <f t="shared" si="29"/>
        <v>110.5</v>
      </c>
      <c r="E64" s="2751">
        <f t="shared" si="66"/>
        <v>106.5</v>
      </c>
      <c r="F64" s="2751">
        <f t="shared" si="66"/>
        <v>103</v>
      </c>
      <c r="G64" s="3735">
        <v>2003</v>
      </c>
      <c r="H64" s="2687">
        <v>2</v>
      </c>
      <c r="I64" s="2749"/>
      <c r="J64" s="2749"/>
      <c r="K64" s="2749"/>
      <c r="L64" s="2749"/>
      <c r="X64" s="2741"/>
      <c r="Y64" s="2741"/>
      <c r="Z64" s="2741"/>
    </row>
    <row r="65" spans="1:26" ht="13.5" thickBot="1">
      <c r="A65" s="2682" t="s">
        <v>2633</v>
      </c>
      <c r="B65" s="2751">
        <f t="shared" si="65"/>
        <v>107.25</v>
      </c>
      <c r="C65" s="2751">
        <f t="shared" si="65"/>
        <v>108.75</v>
      </c>
      <c r="D65" s="2751">
        <f t="shared" si="29"/>
        <v>108.75</v>
      </c>
      <c r="E65" s="2751">
        <f t="shared" si="66"/>
        <v>105.75</v>
      </c>
      <c r="F65" s="2751">
        <f t="shared" si="66"/>
        <v>102.5</v>
      </c>
      <c r="G65" s="3736">
        <v>2003</v>
      </c>
      <c r="H65" s="2752">
        <v>1</v>
      </c>
      <c r="I65" s="2749"/>
      <c r="J65" s="2749"/>
      <c r="K65" s="2749"/>
      <c r="L65" s="2749"/>
      <c r="S65" s="2691"/>
      <c r="T65" s="2692"/>
      <c r="U65" s="2692"/>
      <c r="X65" s="2741"/>
      <c r="Y65" s="2741"/>
      <c r="Z65" s="2741"/>
    </row>
    <row r="66" spans="1:26" ht="13.5" thickBot="1">
      <c r="A66" s="2682" t="s">
        <v>2634</v>
      </c>
      <c r="B66" s="2753">
        <v>106</v>
      </c>
      <c r="C66" s="2753">
        <v>107</v>
      </c>
      <c r="D66" s="2753">
        <f t="shared" si="29"/>
        <v>107</v>
      </c>
      <c r="E66" s="2753">
        <v>105</v>
      </c>
      <c r="F66" s="2754">
        <v>102</v>
      </c>
      <c r="G66" s="3734">
        <v>2002</v>
      </c>
      <c r="H66" s="2702">
        <v>4</v>
      </c>
      <c r="I66" s="2749"/>
      <c r="J66" s="2749"/>
      <c r="K66" s="2749"/>
      <c r="L66" s="2749"/>
      <c r="N66" s="2750"/>
      <c r="O66" s="2749"/>
      <c r="P66" s="2749"/>
      <c r="Q66" s="2749"/>
      <c r="S66" s="2750"/>
      <c r="T66" s="2749"/>
      <c r="U66" s="2749"/>
      <c r="V66" s="2749"/>
      <c r="X66" s="2741"/>
      <c r="Y66" s="2741"/>
      <c r="Z66" s="2741"/>
    </row>
    <row r="67" spans="1:26">
      <c r="A67" s="2682" t="s">
        <v>2635</v>
      </c>
      <c r="B67" s="2751">
        <f t="shared" ref="B67:C69" si="67">B68+(B$66-B$70)/4</f>
        <v>105</v>
      </c>
      <c r="C67" s="2751">
        <f t="shared" si="67"/>
        <v>106</v>
      </c>
      <c r="D67" s="2751">
        <f t="shared" si="29"/>
        <v>106</v>
      </c>
      <c r="E67" s="2751">
        <f t="shared" ref="E67:F69" si="68">E68+(E$66-E$70)/4</f>
        <v>104.5</v>
      </c>
      <c r="F67" s="2751">
        <f t="shared" si="68"/>
        <v>101.5</v>
      </c>
      <c r="G67" s="3735">
        <v>2002</v>
      </c>
      <c r="H67" s="2707">
        <v>3</v>
      </c>
      <c r="I67" s="2749"/>
      <c r="J67" s="2749"/>
      <c r="K67" s="2749"/>
      <c r="L67" s="2749"/>
      <c r="X67" s="2741"/>
      <c r="Y67" s="2741"/>
      <c r="Z67" s="2741"/>
    </row>
    <row r="68" spans="1:26">
      <c r="A68" s="2682" t="s">
        <v>2636</v>
      </c>
      <c r="B68" s="2751">
        <f t="shared" si="67"/>
        <v>104</v>
      </c>
      <c r="C68" s="2751">
        <f t="shared" si="67"/>
        <v>105</v>
      </c>
      <c r="D68" s="2751">
        <f t="shared" si="29"/>
        <v>105</v>
      </c>
      <c r="E68" s="2751">
        <f t="shared" si="68"/>
        <v>104</v>
      </c>
      <c r="F68" s="2751">
        <f t="shared" si="68"/>
        <v>101</v>
      </c>
      <c r="G68" s="3735">
        <v>2002</v>
      </c>
      <c r="H68" s="2687">
        <v>2</v>
      </c>
      <c r="I68" s="2749"/>
      <c r="J68" s="2749"/>
      <c r="K68" s="2749"/>
      <c r="L68" s="2749"/>
      <c r="X68" s="2741"/>
      <c r="Y68" s="2741"/>
      <c r="Z68" s="2741"/>
    </row>
    <row r="69" spans="1:26" s="2718" customFormat="1" ht="13.5" thickBot="1">
      <c r="A69" s="2714" t="s">
        <v>2637</v>
      </c>
      <c r="B69" s="2755">
        <f t="shared" si="67"/>
        <v>103</v>
      </c>
      <c r="C69" s="2755">
        <f t="shared" si="67"/>
        <v>104</v>
      </c>
      <c r="D69" s="2755">
        <f t="shared" si="29"/>
        <v>104</v>
      </c>
      <c r="E69" s="2755">
        <f t="shared" si="68"/>
        <v>103.5</v>
      </c>
      <c r="F69" s="2755">
        <f t="shared" si="68"/>
        <v>100.5</v>
      </c>
      <c r="G69" s="3736">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2638</v>
      </c>
      <c r="G72" s="2765"/>
      <c r="N72" s="2765"/>
      <c r="S72" s="2765"/>
    </row>
    <row r="73" spans="1:26" s="2764" customFormat="1">
      <c r="A73" s="2764" t="s">
        <v>2639</v>
      </c>
      <c r="G73" s="2765"/>
      <c r="N73" s="2765"/>
      <c r="S73" s="2765"/>
    </row>
    <row r="74" spans="1:26" s="2764" customFormat="1">
      <c r="A74" s="2764" t="s">
        <v>2640</v>
      </c>
      <c r="G74" s="2765"/>
      <c r="I74" s="2766"/>
      <c r="J74" s="2766"/>
      <c r="K74" s="2766"/>
      <c r="L74" s="2766"/>
      <c r="N74" s="2767"/>
      <c r="O74" s="2766"/>
      <c r="P74" s="2766"/>
      <c r="Q74" s="2766"/>
      <c r="S74" s="2767"/>
      <c r="T74" s="2766"/>
      <c r="U74" s="2766"/>
      <c r="V74" s="2766"/>
    </row>
    <row r="75" spans="1:26" s="2764" customFormat="1">
      <c r="A75" s="2764" t="s">
        <v>2641</v>
      </c>
      <c r="G75" s="2765"/>
      <c r="N75" s="2765"/>
      <c r="S75" s="2765"/>
    </row>
    <row r="82" spans="7:22" ht="13.5" thickBot="1"/>
    <row r="83" spans="7:22">
      <c r="G83" s="2690"/>
      <c r="S83" s="2768" t="s">
        <v>2642</v>
      </c>
      <c r="T83" s="2769" t="s">
        <v>2643</v>
      </c>
      <c r="U83" s="2769" t="s">
        <v>2644</v>
      </c>
      <c r="V83" s="2769" t="s">
        <v>2645</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M20" sqref="M2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9"/>
      <c r="E1" s="2413" t="s">
        <v>2379</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0</v>
      </c>
      <c r="D5" s="2522" t="s">
        <v>2467</v>
      </c>
      <c r="E5" s="2516"/>
      <c r="F5" s="2517"/>
      <c r="G5" s="1593"/>
      <c r="H5" s="781">
        <v>1</v>
      </c>
      <c r="I5" s="782" t="s">
        <v>2464</v>
      </c>
      <c r="J5" s="55">
        <f ca="1">J6+J10+J12</f>
        <v>0</v>
      </c>
      <c r="K5" s="2522" t="s">
        <v>2467</v>
      </c>
      <c r="L5" s="2516"/>
      <c r="M5" s="2517"/>
    </row>
    <row r="6" spans="1:33" ht="18" customHeight="1">
      <c r="A6" s="1832" t="s">
        <v>1826</v>
      </c>
      <c r="B6" s="3728" t="s">
        <v>2469</v>
      </c>
      <c r="C6" s="783">
        <f ca="1">ROUND(F6*F8*F7*(1-F9)/10000,0)</f>
        <v>0</v>
      </c>
      <c r="D6" s="2523" t="s">
        <v>2468</v>
      </c>
      <c r="E6" s="784" t="s">
        <v>1740</v>
      </c>
      <c r="F6" s="785">
        <f ca="1">INDIRECT("'数据-取费表'!u"&amp;$G$1)</f>
        <v>0</v>
      </c>
      <c r="G6" s="1593"/>
      <c r="H6" s="2530" t="s">
        <v>2475</v>
      </c>
      <c r="I6" s="3728" t="s">
        <v>2469</v>
      </c>
      <c r="J6" s="783">
        <f ca="1">ROUND(M6*M8*M7*(1-M9)/10000,0)</f>
        <v>0</v>
      </c>
      <c r="K6" s="341" t="s">
        <v>1739</v>
      </c>
      <c r="L6" s="784" t="s">
        <v>1740</v>
      </c>
      <c r="M6" s="785">
        <f ca="1">INDIRECT("'数据-取费表'!z"&amp;$G$1)</f>
        <v>0</v>
      </c>
    </row>
    <row r="7" spans="1:33" ht="18" customHeight="1">
      <c r="A7" s="2526"/>
      <c r="B7" s="3729"/>
      <c r="C7" s="788"/>
      <c r="D7" s="789"/>
      <c r="E7" s="784" t="s">
        <v>1741</v>
      </c>
      <c r="F7" s="785">
        <f ca="1">IF(INDIRECT("'数据-取费表'!ah"&amp;$G$1)="",INDIRECT("'数据-取费表'!k"&amp;$G$1),INDIRECT("'数据-取费表'!ah"&amp;$G$1))</f>
        <v>0</v>
      </c>
      <c r="G7" s="1593"/>
      <c r="H7" s="2515"/>
      <c r="I7" s="3729"/>
      <c r="J7" s="788"/>
      <c r="K7" s="789"/>
      <c r="L7" s="784" t="s">
        <v>1741</v>
      </c>
      <c r="M7" s="785">
        <f ca="1">F7</f>
        <v>0</v>
      </c>
    </row>
    <row r="8" spans="1:33" ht="18" customHeight="1">
      <c r="A8" s="2519"/>
      <c r="B8" s="3730"/>
      <c r="C8" s="788"/>
      <c r="D8" s="789"/>
      <c r="E8" s="784" t="s">
        <v>1742</v>
      </c>
      <c r="F8" s="785">
        <f ca="1">INDIRECT("'数据-取费表'!ai"&amp;$G$1)</f>
        <v>0</v>
      </c>
      <c r="G8" s="1593"/>
      <c r="H8" s="2515"/>
      <c r="I8" s="3730"/>
      <c r="J8" s="788"/>
      <c r="K8" s="789"/>
      <c r="L8" s="784" t="s">
        <v>1742</v>
      </c>
      <c r="M8" s="785">
        <f ca="1">INDIRECT("'数据-取费表'!ai"&amp;$G$1)</f>
        <v>0</v>
      </c>
    </row>
    <row r="9" spans="1:33" ht="18" customHeight="1">
      <c r="A9" s="786"/>
      <c r="B9" s="3731"/>
      <c r="C9" s="788"/>
      <c r="D9" s="789"/>
      <c r="E9" s="784" t="s">
        <v>1743</v>
      </c>
      <c r="F9" s="794">
        <f ca="1">INDIRECT("'数据-取费表'!w"&amp;$G$1)</f>
        <v>0</v>
      </c>
      <c r="G9" s="1593"/>
      <c r="H9" s="2531"/>
      <c r="I9" s="3730"/>
      <c r="J9" s="788"/>
      <c r="K9" s="789"/>
      <c r="L9" s="795" t="s">
        <v>1743</v>
      </c>
      <c r="M9" s="796">
        <f ca="1">INDIRECT("'数据-取费表'!ab"&amp;$G$1)</f>
        <v>0</v>
      </c>
    </row>
    <row r="10" spans="1:33" ht="18" customHeight="1">
      <c r="A10" s="1832" t="s">
        <v>2473</v>
      </c>
      <c r="B10" s="2520" t="s">
        <v>2465</v>
      </c>
      <c r="C10" s="799">
        <f ca="1">ROUND(IF(F10="押一",F6*F8*F7/12*F11,IF(F10="押二",F6*F8*F7/12*2*F11,IF(F10="押三",F6*F8*F7/12*3*F11,C11*F11)))/10000,0)</f>
        <v>0</v>
      </c>
      <c r="D10" s="2527" t="s">
        <v>2472</v>
      </c>
      <c r="E10" s="2524" t="s">
        <v>2470</v>
      </c>
      <c r="F10" s="2647"/>
      <c r="G10" s="1593"/>
      <c r="H10" s="2587" t="s">
        <v>2476</v>
      </c>
      <c r="I10" s="2592" t="s">
        <v>2465</v>
      </c>
      <c r="J10" s="783">
        <f ca="1">ROUND(IF(M10="押一",M6*M8*M7/12*M11,IF(M10="押二",M6*M8*M7/12*2*M11,IF(M10="押三",M6*M8*M7/12*3*M11,J11*M11)))/10000,0)</f>
        <v>0</v>
      </c>
      <c r="K10" s="2527" t="s">
        <v>2472</v>
      </c>
      <c r="L10" s="2524" t="s">
        <v>2470</v>
      </c>
      <c r="M10" s="2647"/>
    </row>
    <row r="11" spans="1:33" ht="18" customHeight="1">
      <c r="A11" s="790"/>
      <c r="B11" s="2521" t="s">
        <v>2580</v>
      </c>
      <c r="C11" s="2525"/>
      <c r="D11" s="789"/>
      <c r="E11" s="2524" t="s">
        <v>2471</v>
      </c>
      <c r="F11" s="796">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2">
        <f ca="1">ROUND(C29*F13,0)</f>
        <v>0</v>
      </c>
      <c r="D13" s="1836" t="s">
        <v>2301</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2833</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0.02</v>
      </c>
      <c r="G20" s="1594"/>
      <c r="H20" s="1652" t="s">
        <v>1882</v>
      </c>
      <c r="I20" s="341" t="s">
        <v>1762</v>
      </c>
      <c r="J20" s="54">
        <f ca="1">ROUND(M20*M21/10000,0)</f>
        <v>0</v>
      </c>
      <c r="K20" s="814" t="s">
        <v>1763</v>
      </c>
      <c r="L20" s="784" t="s">
        <v>1764</v>
      </c>
      <c r="M20" s="640">
        <f>'数据-取费表'!B52</f>
        <v>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0.02</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2542</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7" t="s">
        <v>2829</v>
      </c>
      <c r="J25" s="792">
        <f ca="1">J5-J16</f>
        <v>0</v>
      </c>
      <c r="K25" s="2574" t="s">
        <v>1779</v>
      </c>
      <c r="L25" s="2575"/>
      <c r="M25" s="2576"/>
    </row>
    <row r="26" spans="1:33" ht="18" customHeight="1">
      <c r="A26" s="1649" t="s">
        <v>1833</v>
      </c>
      <c r="B26" s="784" t="s">
        <v>2443</v>
      </c>
      <c r="C26" s="53">
        <f ca="1">ROUND((C19+C20)*F26,0)</f>
        <v>0</v>
      </c>
      <c r="D26" s="812" t="s">
        <v>1780</v>
      </c>
      <c r="E26" s="795" t="s">
        <v>1781</v>
      </c>
      <c r="F26" s="794">
        <f ca="1">INDIRECT("'数据-取费表'!q"&amp;$G$1)</f>
        <v>0</v>
      </c>
      <c r="G26" s="1593"/>
      <c r="H26" s="2528" t="s">
        <v>1782</v>
      </c>
      <c r="I26" s="2234" t="s">
        <v>2834</v>
      </c>
      <c r="J26" s="783">
        <f ca="1">IF(J5&lt;&gt;0,ROUND(J25*(1-((1+M28)/(1+M26))^M27)/(M26-M28),0),0)</f>
        <v>0</v>
      </c>
      <c r="K26" s="814" t="s">
        <v>1783</v>
      </c>
      <c r="L26" s="784" t="s">
        <v>2424</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2303</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0</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7" t="s">
        <v>2829</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2305</v>
      </c>
      <c r="C40" s="783" t="e">
        <f ca="1">ROUND(C39*(1-((1+F42)/(1+F40))^F41)/(F40-F42),0)</f>
        <v>#DIV/0!</v>
      </c>
      <c r="D40" s="814" t="s">
        <v>1809</v>
      </c>
      <c r="E40" s="784" t="s">
        <v>2424</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2976</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t="e">
        <f ca="1">C67-C40</f>
        <v>#DIV/0!</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c r="K47" s="2390" t="s">
        <v>2354</v>
      </c>
      <c r="L47" s="2391">
        <f ca="1">INDIRECT("'数据-取费表'!d"&amp;$G$1)</f>
        <v>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c r="K48" s="2393" t="s">
        <v>2356</v>
      </c>
      <c r="L48" s="2394">
        <f ca="1">INDIRECT("'数据-取费表'!f"&amp;$G$1)</f>
        <v>0</v>
      </c>
      <c r="O48" s="2424" t="s">
        <v>2384</v>
      </c>
      <c r="P48" s="2425" t="s">
        <v>2410</v>
      </c>
      <c r="Q48" s="2426" t="e">
        <f ca="1">C40+J29</f>
        <v>#DIV/0!</v>
      </c>
      <c r="R48" s="2425" t="s">
        <v>2385</v>
      </c>
    </row>
    <row r="49" spans="1:18" s="2061" customFormat="1" ht="18" customHeight="1" thickBot="1">
      <c r="A49" s="786"/>
      <c r="B49" s="787"/>
      <c r="C49" s="788"/>
      <c r="D49" s="789"/>
      <c r="E49" s="784" t="s">
        <v>1741</v>
      </c>
      <c r="F49" s="785">
        <f ca="1">F7</f>
        <v>0</v>
      </c>
      <c r="G49" s="2092"/>
      <c r="H49" s="2095"/>
      <c r="I49" s="2385" t="s">
        <v>2350</v>
      </c>
      <c r="J49" s="2395"/>
      <c r="K49" s="2396" t="s">
        <v>2357</v>
      </c>
      <c r="L49" s="2397"/>
      <c r="O49" s="2424" t="s">
        <v>2386</v>
      </c>
      <c r="P49" s="2425" t="s">
        <v>2411</v>
      </c>
      <c r="Q49" s="2426" t="str">
        <f ca="1">J60</f>
        <v>0</v>
      </c>
      <c r="R49" s="2425" t="s">
        <v>2387</v>
      </c>
    </row>
    <row r="50" spans="1:18" s="2061" customFormat="1" ht="18" customHeight="1" thickBot="1">
      <c r="A50" s="786"/>
      <c r="B50" s="787"/>
      <c r="C50" s="788"/>
      <c r="D50" s="789"/>
      <c r="E50" s="784" t="s">
        <v>1742</v>
      </c>
      <c r="F50" s="785">
        <f ca="1">F8</f>
        <v>0</v>
      </c>
      <c r="G50" s="2097"/>
      <c r="H50" s="2095"/>
      <c r="I50" s="2385" t="s">
        <v>2351</v>
      </c>
      <c r="J50" s="2398">
        <f>SUMPRODUCT((I63:I65=J47)*(J62:L62=J48)*(J63:L65))</f>
        <v>0</v>
      </c>
      <c r="K50" s="2396" t="s">
        <v>2358</v>
      </c>
      <c r="L50" s="2397"/>
      <c r="O50" s="2427" t="s">
        <v>2388</v>
      </c>
      <c r="P50" s="2425" t="s">
        <v>2412</v>
      </c>
      <c r="Q50" s="2426">
        <f ca="1">C29</f>
        <v>0</v>
      </c>
      <c r="R50" s="2425" t="s">
        <v>2385</v>
      </c>
    </row>
    <row r="51" spans="1:18" s="2061" customFormat="1" ht="18" customHeight="1" thickBot="1">
      <c r="A51" s="786"/>
      <c r="B51" s="787"/>
      <c r="C51" s="788"/>
      <c r="D51" s="789"/>
      <c r="E51" s="784" t="s">
        <v>641</v>
      </c>
      <c r="F51" s="2373"/>
      <c r="H51" s="2095"/>
      <c r="I51" s="2386" t="s">
        <v>2352</v>
      </c>
      <c r="J51" s="2399">
        <f>IF(J49="",J50,J49+J50-YEAR('数据-取费表'!B2))</f>
        <v>0</v>
      </c>
      <c r="K51" s="2385" t="s">
        <v>2359</v>
      </c>
      <c r="L51" s="2400">
        <f ca="1">ROUND(-PV(INDIRECT("'数据-取费表'!h"&amp;$G$1),L48,(C39-C13*J36),0),0)</f>
        <v>0</v>
      </c>
      <c r="O51" s="2427" t="s">
        <v>2389</v>
      </c>
      <c r="P51" s="2425" t="s">
        <v>2390</v>
      </c>
      <c r="Q51" s="2428" t="e">
        <f ca="1">J58</f>
        <v>#VALUE!</v>
      </c>
      <c r="R51" s="2429"/>
    </row>
    <row r="52" spans="1:18" s="2061" customFormat="1" ht="18" customHeight="1" thickBot="1">
      <c r="A52" s="781" t="s">
        <v>2543</v>
      </c>
      <c r="B52" s="2520" t="s">
        <v>2465</v>
      </c>
      <c r="C52" s="799">
        <f ca="1">ROUND(IF(F52="押一",F48*F50*F49/12*F11,IF(F52="押二",F48*F50*F49/12*2*F11,IF(F52="押三",F48*F50*F49/12*3*F11,C53*F11)))/10000,0)</f>
        <v>0</v>
      </c>
      <c r="D52" s="2527" t="s">
        <v>2472</v>
      </c>
      <c r="E52" s="2524" t="s">
        <v>2470</v>
      </c>
      <c r="F52" s="2647"/>
      <c r="I52" s="2387" t="s">
        <v>2426</v>
      </c>
      <c r="J52" s="2401"/>
      <c r="K52" s="2387" t="s">
        <v>2425</v>
      </c>
      <c r="L52" s="2401"/>
      <c r="O52" s="2427" t="s">
        <v>2391</v>
      </c>
      <c r="P52" s="2425" t="s">
        <v>2392</v>
      </c>
      <c r="Q52" s="2428">
        <f>J52</f>
        <v>0</v>
      </c>
      <c r="R52" s="2429"/>
    </row>
    <row r="53" spans="1:18" s="2061" customFormat="1" ht="39.75" customHeight="1" thickBot="1">
      <c r="A53" s="786"/>
      <c r="B53" s="2521" t="s">
        <v>2580</v>
      </c>
      <c r="C53" s="2525"/>
      <c r="D53" s="2527"/>
      <c r="E53" s="2524"/>
      <c r="F53" s="800"/>
      <c r="I53" s="2388" t="s">
        <v>2353</v>
      </c>
      <c r="J53" s="2402" t="b">
        <f>IF(M47="住宅",J51,IF(D1="——",MIN(J51,L48),IF(D1="土地（套用方法）",MIN(J51,L48-'数据-取费表'!B20))))</f>
        <v>0</v>
      </c>
      <c r="K53" s="3744" t="s">
        <v>2978</v>
      </c>
      <c r="L53" s="3745"/>
      <c r="O53" s="2427" t="s">
        <v>2393</v>
      </c>
      <c r="P53" s="2425" t="s">
        <v>2394</v>
      </c>
      <c r="Q53" s="2426" t="b">
        <f>J53</f>
        <v>0</v>
      </c>
      <c r="R53" s="2425" t="s">
        <v>2395</v>
      </c>
    </row>
    <row r="54" spans="1:18" s="2061" customFormat="1" ht="18" customHeight="1" thickBot="1">
      <c r="A54" s="2563" t="s">
        <v>2474</v>
      </c>
      <c r="B54" s="2564" t="s">
        <v>2466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2396</v>
      </c>
      <c r="P54" s="2425" t="s">
        <v>2413</v>
      </c>
      <c r="Q54" s="2426" t="e">
        <f ca="1">Q48+Q49</f>
        <v>#DIV/0!</v>
      </c>
      <c r="R54" s="2429" t="s">
        <v>2397</v>
      </c>
    </row>
    <row r="55" spans="1:18" s="2061" customFormat="1" ht="18" customHeight="1" thickTop="1" thickBot="1">
      <c r="A55" s="797">
        <v>2</v>
      </c>
      <c r="B55" s="798" t="s">
        <v>645</v>
      </c>
      <c r="C55" s="799">
        <f ca="1">C13</f>
        <v>0</v>
      </c>
      <c r="D55" s="795"/>
      <c r="E55" s="795"/>
      <c r="F55" s="800"/>
      <c r="I55" s="3130" t="s">
        <v>2360</v>
      </c>
      <c r="J55" s="3129"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0</v>
      </c>
      <c r="D56" s="2666"/>
      <c r="E56" s="784"/>
      <c r="F56" s="809"/>
      <c r="I56" s="2405" t="s">
        <v>2362</v>
      </c>
      <c r="J56" s="3153" t="s">
        <v>1680</v>
      </c>
      <c r="K56" s="2385" t="s">
        <v>2367</v>
      </c>
      <c r="L56" s="2394">
        <f ca="1">IF(L48&lt;J51,"——",L48-J51)</f>
        <v>0</v>
      </c>
      <c r="O56" s="2421" t="s">
        <v>2380</v>
      </c>
      <c r="P56" s="2422" t="s">
        <v>2381</v>
      </c>
      <c r="Q56" s="2423" t="s">
        <v>2382</v>
      </c>
      <c r="R56" s="2422" t="s">
        <v>2383</v>
      </c>
    </row>
    <row r="57" spans="1:18" s="2061" customFormat="1" ht="28.5" customHeight="1" thickBot="1">
      <c r="A57" s="797" t="s">
        <v>1750</v>
      </c>
      <c r="B57" s="798" t="s">
        <v>652</v>
      </c>
      <c r="C57" s="799">
        <f ca="1">ROUND(C58+C63+C64+C65,0)</f>
        <v>0</v>
      </c>
      <c r="D57" s="26" t="s">
        <v>1752</v>
      </c>
      <c r="E57" s="2667"/>
      <c r="F57" s="56"/>
      <c r="I57" s="2406" t="s">
        <v>2363</v>
      </c>
      <c r="J57" s="2408" t="str">
        <f ca="1">IF(OR(M47="住宅",J51&lt;L48,J56="是"),"——",J51-L48)</f>
        <v>——</v>
      </c>
      <c r="K57" s="2385" t="s">
        <v>2368</v>
      </c>
      <c r="L57" s="2394">
        <f ca="1">IF(L48&lt;J51,"——",IF(L55="比较法",L49,IF(L55="基准地价",L50,L51)))</f>
        <v>0</v>
      </c>
      <c r="O57" s="2424" t="s">
        <v>2384</v>
      </c>
      <c r="P57" s="2425" t="s">
        <v>2414</v>
      </c>
      <c r="Q57" s="2426" t="e">
        <f ca="1">C40+J29</f>
        <v>#DIV/0!</v>
      </c>
      <c r="R57" s="2425" t="s">
        <v>2385</v>
      </c>
    </row>
    <row r="58" spans="1:18" s="2061" customFormat="1" ht="28.5" customHeight="1" thickBot="1">
      <c r="A58" s="1650" t="s">
        <v>1826</v>
      </c>
      <c r="B58" s="784" t="s">
        <v>657</v>
      </c>
      <c r="C58" s="53">
        <f ca="1">ROUND(IF(项目基本情况!B11="自然人",C47*F58,C59+C60+C61),1)</f>
        <v>0</v>
      </c>
      <c r="D58" s="2665" t="s">
        <v>658</v>
      </c>
      <c r="E58" s="2666" t="s">
        <v>691</v>
      </c>
      <c r="F58" s="810" t="str">
        <f ca="1">IF(项目基本情况!B11="企业","",IF(INDIRECT("'数据-取费表'!c"&amp;$G$1)="住宅",5%,IF(F48*F49*F50/12/(1+'数据-取费表'!C42)&gt;20000,12%,7%)))</f>
        <v/>
      </c>
      <c r="I58" s="2406" t="s">
        <v>2364</v>
      </c>
      <c r="J58" s="3131" t="e">
        <f ca="1">IF(J55&lt;0.4,0.4,J55)</f>
        <v>#VALUE!</v>
      </c>
      <c r="K58" s="2385" t="s">
        <v>2369</v>
      </c>
      <c r="L58" s="2394" t="e">
        <f ca="1">ROUND(POWER(1+L52,L47-L48)*(POWER(1+L52,L48)-1)/(POWER(1+L52,L47)-1),4)</f>
        <v>#DIV/0!</v>
      </c>
      <c r="O58" s="2424" t="s">
        <v>2386</v>
      </c>
      <c r="P58" s="2425" t="s">
        <v>2417</v>
      </c>
      <c r="Q58" s="2426" t="e">
        <f ca="1">L60</f>
        <v>#DIV/0!</v>
      </c>
      <c r="R58" s="2429" t="s">
        <v>2419</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2365</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2366</v>
      </c>
      <c r="J60" s="2409" t="str">
        <f ca="1">IF(OR(M47="住宅",J51&lt;L48,J56="是"),"0",ROUND(J59/(1+J52)^J53,0))</f>
        <v>0</v>
      </c>
      <c r="K60" s="2410" t="s">
        <v>2371</v>
      </c>
      <c r="L60" s="2409" t="e">
        <f ca="1">IF(OR(M47="住宅",L48&lt;J51),0,ROUND(L57*(L58/L59-1),0))</f>
        <v>#DIV/0!</v>
      </c>
      <c r="O60" s="2427" t="s">
        <v>2389</v>
      </c>
      <c r="P60" s="2425" t="s">
        <v>2398</v>
      </c>
      <c r="Q60" s="2428">
        <f>L52</f>
        <v>0</v>
      </c>
      <c r="R60" s="2429"/>
    </row>
    <row r="61" spans="1:18" s="2061" customFormat="1" ht="18" customHeight="1" thickBot="1">
      <c r="A61" s="1652" t="s">
        <v>1835</v>
      </c>
      <c r="B61" s="341" t="s">
        <v>669</v>
      </c>
      <c r="C61" s="54">
        <f ca="1">ROUND(F61*F62/10000,1)</f>
        <v>0</v>
      </c>
      <c r="D61" s="814" t="s">
        <v>670</v>
      </c>
      <c r="E61" s="784" t="s">
        <v>671</v>
      </c>
      <c r="F61" s="640">
        <f t="shared" si="0"/>
        <v>0</v>
      </c>
      <c r="K61" s="2088"/>
      <c r="O61" s="2427" t="s">
        <v>2391</v>
      </c>
      <c r="P61" s="2425" t="s">
        <v>2399</v>
      </c>
      <c r="Q61" s="2426" t="e">
        <f ca="1">L58</f>
        <v>#DIV/0!</v>
      </c>
      <c r="R61" s="2429" t="s">
        <v>2400</v>
      </c>
    </row>
    <row r="62" spans="1:18" s="2061" customFormat="1" ht="15.75" thickBot="1">
      <c r="A62" s="815"/>
      <c r="B62" s="793"/>
      <c r="C62" s="69"/>
      <c r="D62" s="816"/>
      <c r="E62" s="784" t="s">
        <v>675</v>
      </c>
      <c r="F62" s="785">
        <f t="shared" ca="1" si="0"/>
        <v>0</v>
      </c>
      <c r="I62" s="2411" t="s">
        <v>2372</v>
      </c>
      <c r="J62" s="2412" t="s">
        <v>2373</v>
      </c>
      <c r="K62" s="2412" t="s">
        <v>2374</v>
      </c>
      <c r="L62" s="2412" t="s">
        <v>2355</v>
      </c>
      <c r="M62" s="3132" t="s">
        <v>2953</v>
      </c>
      <c r="O62" s="2427" t="s">
        <v>2393</v>
      </c>
      <c r="P62" s="2425" t="str">
        <f>K59</f>
        <v>建设期及建筑物耐用年限下的土地年期修正系数Kn</v>
      </c>
      <c r="Q62" s="2426" t="e">
        <f ca="1">L59</f>
        <v>#DIV/0!</v>
      </c>
      <c r="R62" s="2429" t="s">
        <v>2402</v>
      </c>
    </row>
    <row r="63" spans="1:18" s="2061" customFormat="1" ht="15.75" thickBot="1">
      <c r="A63" s="1650" t="s">
        <v>1891</v>
      </c>
      <c r="B63" s="784" t="s">
        <v>677</v>
      </c>
      <c r="C63" s="53">
        <f ca="1">ROUND(C56*F63,1)</f>
        <v>0</v>
      </c>
      <c r="D63" s="2666" t="s">
        <v>1805</v>
      </c>
      <c r="E63" s="784" t="s">
        <v>1749</v>
      </c>
      <c r="F63" s="817">
        <f t="shared" ca="1" si="0"/>
        <v>0</v>
      </c>
      <c r="I63" s="2411" t="s">
        <v>2375</v>
      </c>
      <c r="J63" s="2412">
        <v>70</v>
      </c>
      <c r="K63" s="2412">
        <v>50</v>
      </c>
      <c r="L63" s="2412">
        <v>80</v>
      </c>
      <c r="M63" s="3133">
        <v>0.02</v>
      </c>
      <c r="O63" s="2424" t="s">
        <v>2396</v>
      </c>
      <c r="P63" s="2425" t="s">
        <v>2413</v>
      </c>
      <c r="Q63" s="2426" t="e">
        <f ca="1">Q57+Q58</f>
        <v>#DIV/0!</v>
      </c>
      <c r="R63" s="2429" t="s">
        <v>2397</v>
      </c>
    </row>
    <row r="64" spans="1:18" s="2061" customFormat="1" ht="16.5" thickBot="1">
      <c r="A64" s="1650" t="s">
        <v>1892</v>
      </c>
      <c r="B64" s="784" t="s">
        <v>680</v>
      </c>
      <c r="C64" s="53">
        <f ca="1">ROUND(C55*F64,1)</f>
        <v>0</v>
      </c>
      <c r="D64" s="2666" t="s">
        <v>681</v>
      </c>
      <c r="E64" s="784" t="s">
        <v>1749</v>
      </c>
      <c r="F64" s="818">
        <f t="shared" ca="1" si="0"/>
        <v>0</v>
      </c>
      <c r="I64" s="2411" t="s">
        <v>2376</v>
      </c>
      <c r="J64" s="2412">
        <v>50</v>
      </c>
      <c r="K64" s="2412">
        <v>35</v>
      </c>
      <c r="L64" s="2412">
        <v>60</v>
      </c>
      <c r="M64" s="3134">
        <v>0</v>
      </c>
      <c r="O64" s="2430" t="s">
        <v>2420</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2377</v>
      </c>
      <c r="J65" s="2412">
        <v>40</v>
      </c>
      <c r="K65" s="2412">
        <v>30</v>
      </c>
      <c r="L65" s="2412">
        <v>50</v>
      </c>
      <c r="M65" s="3133">
        <v>0.02</v>
      </c>
      <c r="O65" s="2421" t="s">
        <v>2380</v>
      </c>
      <c r="P65" s="2422" t="s">
        <v>2381</v>
      </c>
      <c r="Q65" s="2423" t="s">
        <v>2382</v>
      </c>
      <c r="R65" s="2422" t="s">
        <v>2383</v>
      </c>
    </row>
    <row r="66" spans="1:18" s="2061" customFormat="1" ht="24.75" thickBot="1">
      <c r="A66" s="797" t="s">
        <v>1778</v>
      </c>
      <c r="B66" s="3038" t="s">
        <v>2829</v>
      </c>
      <c r="C66" s="799">
        <f ca="1">C47-C57</f>
        <v>0</v>
      </c>
      <c r="D66" s="2665" t="s">
        <v>701</v>
      </c>
      <c r="E66" s="2664"/>
      <c r="F66" s="820"/>
      <c r="K66" s="2088"/>
      <c r="O66" s="2424" t="s">
        <v>2384</v>
      </c>
      <c r="P66" s="2425" t="s">
        <v>2414</v>
      </c>
      <c r="Q66" s="2426" t="e">
        <f ca="1">C40+J29</f>
        <v>#DIV/0!</v>
      </c>
      <c r="R66" s="2425" t="s">
        <v>2385</v>
      </c>
    </row>
    <row r="67" spans="1:18" s="2061" customFormat="1" ht="20.25" thickBot="1">
      <c r="A67" s="781" t="s">
        <v>1782</v>
      </c>
      <c r="B67" s="2234" t="s">
        <v>2305</v>
      </c>
      <c r="C67" s="783" t="e">
        <f ca="1">ROUND(C66*(1-((1+F69)/(1+F67))^F68)/(F67-F69),0)</f>
        <v>#DIV/0!</v>
      </c>
      <c r="D67" s="814" t="s">
        <v>705</v>
      </c>
      <c r="E67" s="784" t="s">
        <v>706</v>
      </c>
      <c r="F67" s="794">
        <f ca="1">F40</f>
        <v>0</v>
      </c>
      <c r="K67" s="2088"/>
      <c r="O67" s="2424" t="s">
        <v>2386</v>
      </c>
      <c r="P67" s="2425" t="s">
        <v>2417</v>
      </c>
      <c r="Q67" s="2426" t="e">
        <f ca="1">L60</f>
        <v>#DIV/0!</v>
      </c>
      <c r="R67" s="2429" t="s">
        <v>2419</v>
      </c>
    </row>
    <row r="68" spans="1:18" ht="21.75" thickBot="1">
      <c r="A68" s="786"/>
      <c r="B68" s="787"/>
      <c r="C68" s="788"/>
      <c r="D68" s="821" t="s">
        <v>1810</v>
      </c>
      <c r="E68" s="784" t="s">
        <v>1786</v>
      </c>
      <c r="F68" s="822">
        <f ca="1">F41</f>
        <v>0</v>
      </c>
      <c r="O68" s="2427" t="s">
        <v>2388</v>
      </c>
      <c r="P68" s="2425" t="s">
        <v>2418</v>
      </c>
      <c r="Q68" s="2431">
        <f ca="1">L51</f>
        <v>0</v>
      </c>
      <c r="R68" s="2432" t="s">
        <v>2421</v>
      </c>
    </row>
    <row r="69" spans="1:18" ht="20.25" thickBot="1">
      <c r="A69" s="790"/>
      <c r="B69" s="791"/>
      <c r="C69" s="792"/>
      <c r="D69" s="816"/>
      <c r="E69" s="784" t="s">
        <v>711</v>
      </c>
      <c r="F69" s="2373"/>
      <c r="O69" s="2427" t="s">
        <v>2389</v>
      </c>
      <c r="P69" s="2433" t="s">
        <v>2403</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2404</v>
      </c>
      <c r="P70" s="2433" t="s">
        <v>2405</v>
      </c>
      <c r="Q70" s="2426">
        <f ca="1">C39</f>
        <v>0</v>
      </c>
      <c r="R70" s="2425" t="s">
        <v>2385</v>
      </c>
    </row>
    <row r="71" spans="1:18" ht="15.75" thickBot="1">
      <c r="O71" s="2427" t="s">
        <v>2406</v>
      </c>
      <c r="P71" s="2433" t="s">
        <v>2407</v>
      </c>
      <c r="Q71" s="2426">
        <f ca="1">C13</f>
        <v>0</v>
      </c>
      <c r="R71" s="2425" t="s">
        <v>2385</v>
      </c>
    </row>
    <row r="72" spans="1:18" ht="15.75" thickBot="1">
      <c r="O72" s="2427" t="s">
        <v>2408</v>
      </c>
      <c r="P72" s="2433" t="s">
        <v>2409</v>
      </c>
      <c r="Q72" s="2428">
        <f ca="1">J36</f>
        <v>0</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t="e">
        <f ca="1">Q66+Q67</f>
        <v>#DIV/0!</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746" t="s">
        <v>2478</v>
      </c>
      <c r="B1" s="3747"/>
      <c r="C1" s="3748"/>
      <c r="D1" s="3749">
        <f>SUM(I10,I15,I20,I21,I23)</f>
        <v>0</v>
      </c>
      <c r="E1" s="3749"/>
      <c r="F1" s="3749"/>
      <c r="G1" s="3749"/>
      <c r="H1" s="3749"/>
      <c r="I1" s="3750"/>
    </row>
    <row r="2" spans="1:9">
      <c r="A2" s="3751" t="s">
        <v>2479</v>
      </c>
      <c r="B2" s="3752" t="s">
        <v>2480</v>
      </c>
      <c r="C2" s="3752"/>
      <c r="D2" s="2533" t="s">
        <v>2481</v>
      </c>
      <c r="E2" s="2533" t="s">
        <v>2482</v>
      </c>
      <c r="F2" s="2533" t="s">
        <v>2483</v>
      </c>
      <c r="G2" s="2533" t="s">
        <v>2484</v>
      </c>
      <c r="H2" s="2533" t="s">
        <v>2485</v>
      </c>
      <c r="I2" s="2534" t="s">
        <v>2486</v>
      </c>
    </row>
    <row r="3" spans="1:9">
      <c r="A3" s="3751"/>
      <c r="B3" s="3752" t="s">
        <v>2487</v>
      </c>
      <c r="C3" s="3752"/>
      <c r="D3" s="2535"/>
      <c r="E3" s="2533"/>
      <c r="F3" s="2536"/>
      <c r="G3" s="2536"/>
      <c r="H3" s="2537"/>
      <c r="I3" s="2538">
        <f>ROUND(D3*E3*F3*G3*H3/10000,0)</f>
        <v>0</v>
      </c>
    </row>
    <row r="4" spans="1:9">
      <c r="A4" s="3751"/>
      <c r="B4" s="3752" t="s">
        <v>2488</v>
      </c>
      <c r="C4" s="3752"/>
      <c r="D4" s="2535"/>
      <c r="E4" s="2533"/>
      <c r="F4" s="2536"/>
      <c r="G4" s="2536"/>
      <c r="H4" s="2537"/>
      <c r="I4" s="2538">
        <f t="shared" ref="I4:I9" si="0">ROUND(D4*E4*F4*G4*H4/10000,0)</f>
        <v>0</v>
      </c>
    </row>
    <row r="5" spans="1:9">
      <c r="A5" s="3751"/>
      <c r="B5" s="3752" t="s">
        <v>2489</v>
      </c>
      <c r="C5" s="3752"/>
      <c r="D5" s="2535"/>
      <c r="E5" s="2533"/>
      <c r="F5" s="2536"/>
      <c r="G5" s="2536"/>
      <c r="H5" s="2537"/>
      <c r="I5" s="2538">
        <f t="shared" si="0"/>
        <v>0</v>
      </c>
    </row>
    <row r="6" spans="1:9">
      <c r="A6" s="3751"/>
      <c r="B6" s="3752" t="s">
        <v>2490</v>
      </c>
      <c r="C6" s="3752"/>
      <c r="D6" s="2535"/>
      <c r="E6" s="2533"/>
      <c r="F6" s="2536"/>
      <c r="G6" s="2536"/>
      <c r="H6" s="2537"/>
      <c r="I6" s="2538">
        <f t="shared" si="0"/>
        <v>0</v>
      </c>
    </row>
    <row r="7" spans="1:9">
      <c r="A7" s="3751"/>
      <c r="B7" s="3752" t="s">
        <v>2491</v>
      </c>
      <c r="C7" s="3752"/>
      <c r="D7" s="2535"/>
      <c r="E7" s="2533"/>
      <c r="F7" s="2536"/>
      <c r="G7" s="2536"/>
      <c r="H7" s="2537"/>
      <c r="I7" s="2538">
        <f t="shared" si="0"/>
        <v>0</v>
      </c>
    </row>
    <row r="8" spans="1:9">
      <c r="A8" s="3751"/>
      <c r="B8" s="3752" t="s">
        <v>2492</v>
      </c>
      <c r="C8" s="3752"/>
      <c r="D8" s="2535"/>
      <c r="E8" s="2533"/>
      <c r="F8" s="2536"/>
      <c r="G8" s="2536"/>
      <c r="H8" s="2537"/>
      <c r="I8" s="2538">
        <f t="shared" si="0"/>
        <v>0</v>
      </c>
    </row>
    <row r="9" spans="1:9">
      <c r="A9" s="3751"/>
      <c r="B9" s="3752" t="s">
        <v>2493</v>
      </c>
      <c r="C9" s="3752"/>
      <c r="D9" s="2535"/>
      <c r="E9" s="2533"/>
      <c r="F9" s="2536"/>
      <c r="G9" s="2536"/>
      <c r="H9" s="2537"/>
      <c r="I9" s="2538">
        <f t="shared" si="0"/>
        <v>0</v>
      </c>
    </row>
    <row r="10" spans="1:9">
      <c r="A10" s="3751"/>
      <c r="B10" s="3753" t="s">
        <v>2494</v>
      </c>
      <c r="C10" s="3753"/>
      <c r="D10" s="2539">
        <v>527</v>
      </c>
      <c r="E10" s="2539" t="e">
        <f>ROUND(D1*10000/D10/H9,0)</f>
        <v>#DIV/0!</v>
      </c>
      <c r="F10" s="2540"/>
      <c r="G10" s="2540"/>
      <c r="H10" s="2541"/>
      <c r="I10" s="2542">
        <f>SUM(I3:I9)</f>
        <v>0</v>
      </c>
    </row>
    <row r="11" spans="1:9" ht="14.25">
      <c r="A11" s="3751" t="s">
        <v>2495</v>
      </c>
      <c r="B11" s="3752" t="s">
        <v>2496</v>
      </c>
      <c r="C11" s="3752"/>
      <c r="D11" s="2535" t="s">
        <v>2497</v>
      </c>
      <c r="E11" s="2535" t="s">
        <v>2498</v>
      </c>
      <c r="F11" s="2536" t="s">
        <v>2499</v>
      </c>
      <c r="G11" s="2536" t="s">
        <v>2500</v>
      </c>
      <c r="H11" s="2543" t="s">
        <v>2501</v>
      </c>
      <c r="I11" s="2534" t="s">
        <v>2502</v>
      </c>
    </row>
    <row r="12" spans="1:9">
      <c r="A12" s="3751"/>
      <c r="B12" s="3752" t="s">
        <v>2503</v>
      </c>
      <c r="C12" s="3752"/>
      <c r="D12" s="2535"/>
      <c r="E12" s="2535"/>
      <c r="F12" s="2536"/>
      <c r="G12" s="2537"/>
      <c r="H12" s="2544"/>
      <c r="I12" s="2534">
        <f>ROUND(D12*E12*F12*G12/10000,0)</f>
        <v>0</v>
      </c>
    </row>
    <row r="13" spans="1:9">
      <c r="A13" s="3751"/>
      <c r="B13" s="3752" t="s">
        <v>2504</v>
      </c>
      <c r="C13" s="3752"/>
      <c r="D13" s="2535"/>
      <c r="E13" s="2535"/>
      <c r="F13" s="2536"/>
      <c r="G13" s="2537"/>
      <c r="H13" s="2544"/>
      <c r="I13" s="2534">
        <f>ROUND(D13*E13*F13*G13/10000,0)</f>
        <v>0</v>
      </c>
    </row>
    <row r="14" spans="1:9">
      <c r="A14" s="3751"/>
      <c r="B14" s="3752" t="s">
        <v>2505</v>
      </c>
      <c r="C14" s="3752"/>
      <c r="D14" s="2535"/>
      <c r="E14" s="2535"/>
      <c r="F14" s="2536"/>
      <c r="G14" s="2537"/>
      <c r="H14" s="2544"/>
      <c r="I14" s="2534">
        <f>ROUND(D14*E14*F14*G14/10000,0)</f>
        <v>0</v>
      </c>
    </row>
    <row r="15" spans="1:9">
      <c r="A15" s="3751"/>
      <c r="B15" s="3753" t="s">
        <v>2494</v>
      </c>
      <c r="C15" s="3753"/>
      <c r="D15" s="2539"/>
      <c r="E15" s="2539">
        <f>SUM(E12:E14)</f>
        <v>0</v>
      </c>
      <c r="F15" s="2540"/>
      <c r="G15" s="2537"/>
      <c r="H15" s="2544"/>
      <c r="I15" s="2545">
        <f>SUM(I12:I14)</f>
        <v>0</v>
      </c>
    </row>
    <row r="16" spans="1:9" ht="24">
      <c r="A16" s="3751" t="s">
        <v>2506</v>
      </c>
      <c r="B16" s="3752" t="s">
        <v>2507</v>
      </c>
      <c r="C16" s="3752"/>
      <c r="D16" s="2535" t="s">
        <v>2508</v>
      </c>
      <c r="E16" s="2546" t="s">
        <v>2509</v>
      </c>
      <c r="F16" s="2536" t="s">
        <v>2510</v>
      </c>
      <c r="G16" s="2537" t="s">
        <v>2500</v>
      </c>
      <c r="H16" s="2543" t="s">
        <v>2501</v>
      </c>
      <c r="I16" s="2534" t="s">
        <v>2502</v>
      </c>
    </row>
    <row r="17" spans="1:9" ht="14.25">
      <c r="A17" s="3751"/>
      <c r="B17" s="3752" t="s">
        <v>2511</v>
      </c>
      <c r="C17" s="3752"/>
      <c r="D17" s="2535"/>
      <c r="E17" s="2535"/>
      <c r="F17" s="2536"/>
      <c r="G17" s="2537"/>
      <c r="H17" s="2547"/>
      <c r="I17" s="2548">
        <f>ROUND(D17*E17*F17*G17/10000,0)</f>
        <v>0</v>
      </c>
    </row>
    <row r="18" spans="1:9" ht="14.25">
      <c r="A18" s="3751"/>
      <c r="B18" s="3752" t="s">
        <v>2512</v>
      </c>
      <c r="C18" s="3752"/>
      <c r="D18" s="2535"/>
      <c r="E18" s="2535"/>
      <c r="F18" s="2536"/>
      <c r="G18" s="2537"/>
      <c r="H18" s="2547"/>
      <c r="I18" s="2548">
        <f>ROUND(D18*E18*F18*G18/10000,0)</f>
        <v>0</v>
      </c>
    </row>
    <row r="19" spans="1:9" ht="14.25">
      <c r="A19" s="3751"/>
      <c r="B19" s="3752" t="s">
        <v>2513</v>
      </c>
      <c r="C19" s="3752"/>
      <c r="D19" s="2535"/>
      <c r="E19" s="2535"/>
      <c r="F19" s="2536"/>
      <c r="G19" s="2537"/>
      <c r="H19" s="2547"/>
      <c r="I19" s="2548">
        <f>ROUND(D19*E19*F19*G19/10000,0)</f>
        <v>0</v>
      </c>
    </row>
    <row r="20" spans="1:9">
      <c r="A20" s="3751"/>
      <c r="B20" s="3753" t="s">
        <v>2494</v>
      </c>
      <c r="C20" s="3753"/>
      <c r="D20" s="2539">
        <f>SUM(D17:D19)</f>
        <v>0</v>
      </c>
      <c r="E20" s="2539"/>
      <c r="F20" s="2540"/>
      <c r="G20" s="2537"/>
      <c r="H20" s="2544"/>
      <c r="I20" s="2545">
        <f>SUM(I17:I19)</f>
        <v>0</v>
      </c>
    </row>
    <row r="21" spans="1:9">
      <c r="A21" s="3751" t="s">
        <v>2514</v>
      </c>
      <c r="B21" s="3755"/>
      <c r="C21" s="3755"/>
      <c r="D21" s="3755"/>
      <c r="E21" s="3755"/>
      <c r="F21" s="3755"/>
      <c r="G21" s="3755"/>
      <c r="H21" s="2549">
        <v>0.1</v>
      </c>
      <c r="I21" s="2542">
        <f>ROUND(I10*H21,0)</f>
        <v>0</v>
      </c>
    </row>
    <row r="22" spans="1:9" ht="14.25">
      <c r="A22" s="3756" t="s">
        <v>2515</v>
      </c>
      <c r="B22" s="3757"/>
      <c r="C22" s="3758"/>
      <c r="D22" s="2550" t="s">
        <v>2516</v>
      </c>
      <c r="E22" s="2550" t="s">
        <v>2517</v>
      </c>
      <c r="F22" s="2551" t="s">
        <v>2518</v>
      </c>
      <c r="G22" s="2551" t="s">
        <v>2519</v>
      </c>
      <c r="H22" s="2543" t="s">
        <v>2520</v>
      </c>
      <c r="I22" s="2534" t="s">
        <v>2521</v>
      </c>
    </row>
    <row r="23" spans="1:9" ht="14.25" thickBot="1">
      <c r="A23" s="3759"/>
      <c r="B23" s="3760"/>
      <c r="C23" s="3761"/>
      <c r="D23" s="2552"/>
      <c r="E23" s="2552"/>
      <c r="F23" s="2552"/>
      <c r="G23" s="2553"/>
      <c r="H23" s="2554"/>
      <c r="I23" s="2555">
        <f>ROUND(E23*D23*F23*(1-G23)/10000,0)</f>
        <v>0</v>
      </c>
    </row>
    <row r="26" spans="1:9">
      <c r="A26" s="2556" t="s">
        <v>2522</v>
      </c>
      <c r="B26" s="2556"/>
      <c r="C26" s="2556"/>
      <c r="D26" s="2556"/>
      <c r="E26" s="3762">
        <f>C27-C30-C31-C32</f>
        <v>0</v>
      </c>
      <c r="F26" s="3762"/>
      <c r="G26" s="3762"/>
      <c r="H26" s="3071" t="s">
        <v>2850</v>
      </c>
    </row>
    <row r="27" spans="1:9">
      <c r="A27" s="2557">
        <v>1</v>
      </c>
      <c r="B27" s="2558" t="s">
        <v>2523</v>
      </c>
      <c r="C27" s="2558"/>
      <c r="D27" s="2558"/>
      <c r="E27" s="3763"/>
      <c r="F27" s="3763"/>
      <c r="G27" s="3763"/>
    </row>
    <row r="28" spans="1:9">
      <c r="A28" s="2559" t="s">
        <v>2524</v>
      </c>
      <c r="B28" s="2558" t="s">
        <v>2525</v>
      </c>
      <c r="C28" s="2558"/>
      <c r="D28" s="2558"/>
      <c r="E28" s="3763"/>
      <c r="F28" s="3763"/>
      <c r="G28" s="3763"/>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754"/>
      <c r="F32" s="3754"/>
      <c r="G32" s="3754"/>
    </row>
    <row r="33" spans="1:7" hidden="1">
      <c r="A33" s="3764" t="s">
        <v>2533</v>
      </c>
      <c r="B33" s="3765"/>
      <c r="C33" s="3765"/>
      <c r="D33" s="3766"/>
      <c r="E33" s="3762"/>
      <c r="F33" s="3762"/>
      <c r="G33" s="3762"/>
    </row>
    <row r="34" spans="1:7" hidden="1">
      <c r="A34" s="2561">
        <v>1</v>
      </c>
      <c r="B34" s="2558" t="s">
        <v>2534</v>
      </c>
      <c r="C34" s="2558"/>
      <c r="D34" s="2558"/>
      <c r="E34" s="3763"/>
      <c r="F34" s="3763"/>
      <c r="G34" s="3763"/>
    </row>
    <row r="35" spans="1:7" hidden="1">
      <c r="A35" s="2561">
        <v>2</v>
      </c>
      <c r="B35" s="2558" t="s">
        <v>2535</v>
      </c>
      <c r="C35" s="2558"/>
      <c r="D35" s="2558"/>
      <c r="E35" s="3763"/>
      <c r="F35" s="3763"/>
      <c r="G35" s="3763"/>
    </row>
    <row r="36" spans="1:7" hidden="1">
      <c r="A36" s="2561">
        <v>3</v>
      </c>
      <c r="B36" s="2558" t="s">
        <v>2536</v>
      </c>
      <c r="C36" s="2558"/>
      <c r="D36" s="2558"/>
      <c r="E36" s="3763"/>
      <c r="F36" s="3763"/>
      <c r="G36" s="3763"/>
    </row>
    <row r="37" spans="1:7" hidden="1">
      <c r="A37" s="2561">
        <v>4</v>
      </c>
      <c r="B37" s="2558" t="s">
        <v>2537</v>
      </c>
      <c r="C37" s="2558"/>
      <c r="D37" s="2558"/>
      <c r="E37" s="3763"/>
      <c r="F37" s="3763"/>
      <c r="G37" s="3763"/>
    </row>
    <row r="38" spans="1:7" hidden="1">
      <c r="A38" s="3764" t="s">
        <v>2538</v>
      </c>
      <c r="B38" s="3765"/>
      <c r="C38" s="3765"/>
      <c r="D38" s="3766"/>
      <c r="E38" s="3762"/>
      <c r="F38" s="3762"/>
      <c r="G38" s="37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M20" sqref="M20"/>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2445</v>
      </c>
      <c r="B8" s="2498" t="s">
        <v>2447</v>
      </c>
      <c r="C8" s="2499"/>
      <c r="D8" s="749"/>
      <c r="E8" s="750"/>
      <c r="F8" s="750"/>
      <c r="G8" s="751"/>
    </row>
    <row r="9" spans="1:25" s="2185" customFormat="1" ht="13.5" customHeight="1">
      <c r="A9" s="2495" t="s">
        <v>2446</v>
      </c>
      <c r="B9" s="2498" t="s">
        <v>2448</v>
      </c>
      <c r="C9" s="2499"/>
      <c r="D9" s="749"/>
      <c r="E9" s="750"/>
      <c r="F9" s="750"/>
      <c r="G9" s="751"/>
    </row>
    <row r="10" spans="1:25" s="2185" customFormat="1" ht="36">
      <c r="A10" s="2495">
        <v>2</v>
      </c>
      <c r="B10" s="748" t="s">
        <v>614</v>
      </c>
      <c r="C10" s="749">
        <f>C11+C14+C15</f>
        <v>0</v>
      </c>
      <c r="D10" s="760">
        <f>'数据-汇总表'!E3</f>
        <v>87282</v>
      </c>
      <c r="E10" s="749">
        <f>'数据-取费表'!B31</f>
        <v>100</v>
      </c>
      <c r="F10" s="761"/>
      <c r="G10" s="759" t="s">
        <v>615</v>
      </c>
    </row>
    <row r="11" spans="1:25" s="2185" customFormat="1" ht="13.5" customHeight="1">
      <c r="A11" s="2495" t="s">
        <v>2445</v>
      </c>
      <c r="B11" s="752" t="s">
        <v>611</v>
      </c>
      <c r="C11" s="753">
        <f>'数据-取费表'!B29</f>
        <v>0</v>
      </c>
      <c r="D11" s="754"/>
      <c r="E11" s="753"/>
      <c r="F11" s="755"/>
      <c r="G11" s="2504" t="s">
        <v>2456</v>
      </c>
    </row>
    <row r="12" spans="1:25" s="2185" customFormat="1" ht="13.5" customHeight="1">
      <c r="A12" s="2502" t="s">
        <v>2453</v>
      </c>
      <c r="B12" s="756" t="s">
        <v>612</v>
      </c>
      <c r="C12" s="757">
        <f>ROUND(D12*E12/10000,0)</f>
        <v>3055</v>
      </c>
      <c r="D12" s="758">
        <f>'数据-汇总表'!E5</f>
        <v>87282</v>
      </c>
      <c r="E12" s="757">
        <f>'数据-取费表'!B27</f>
        <v>350</v>
      </c>
      <c r="F12" s="755"/>
      <c r="G12" s="759"/>
    </row>
    <row r="13" spans="1:25" s="2185" customFormat="1" ht="13.5" customHeight="1">
      <c r="A13" s="2502" t="s">
        <v>2452</v>
      </c>
      <c r="B13" s="756" t="s">
        <v>613</v>
      </c>
      <c r="C13" s="757">
        <f>ROUND(D13*E13/10000,0)</f>
        <v>0</v>
      </c>
      <c r="D13" s="758">
        <f>'数据-汇总表'!E6</f>
        <v>0</v>
      </c>
      <c r="E13" s="757">
        <f>'数据-取费表'!B28</f>
        <v>350</v>
      </c>
      <c r="F13" s="755"/>
      <c r="G13" s="759"/>
    </row>
    <row r="14" spans="1:25" s="2185" customFormat="1" ht="13.5" customHeight="1">
      <c r="A14" s="2495" t="s">
        <v>2446</v>
      </c>
      <c r="B14" s="2501" t="s">
        <v>2449</v>
      </c>
      <c r="C14" s="2499"/>
      <c r="D14" s="758"/>
      <c r="E14" s="757"/>
      <c r="F14" s="2500"/>
      <c r="G14" s="2503" t="s">
        <v>2454</v>
      </c>
    </row>
    <row r="15" spans="1:25" s="2185" customFormat="1" ht="13.5" customHeight="1">
      <c r="A15" s="2495" t="s">
        <v>2451</v>
      </c>
      <c r="B15" s="2501" t="s">
        <v>2450</v>
      </c>
      <c r="C15" s="2499"/>
      <c r="D15" s="758"/>
      <c r="E15" s="757"/>
      <c r="F15" s="2500"/>
      <c r="G15" s="2503" t="s">
        <v>2455</v>
      </c>
    </row>
    <row r="16" spans="1:25" s="2186" customFormat="1" ht="48">
      <c r="A16" s="2495">
        <v>3</v>
      </c>
      <c r="B16" s="748" t="s">
        <v>616</v>
      </c>
      <c r="C16" s="2499"/>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0.15</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0.92400000000000004</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c r="E1" s="2652"/>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t="e">
        <f>C49</f>
        <v>#DIV/0!</v>
      </c>
      <c r="C3" s="852" t="s">
        <v>723</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661" t="s">
        <v>523</v>
      </c>
      <c r="D4" s="3662"/>
      <c r="E4" s="3695" t="s">
        <v>524</v>
      </c>
      <c r="F4" s="3696"/>
      <c r="G4" s="3661" t="s">
        <v>525</v>
      </c>
      <c r="H4" s="3662"/>
      <c r="I4" s="3661" t="s">
        <v>526</v>
      </c>
      <c r="J4" s="3662"/>
      <c r="K4" s="853" t="s">
        <v>527</v>
      </c>
      <c r="L4" s="2135"/>
      <c r="M4" s="2136"/>
      <c r="N4" s="2136"/>
      <c r="O4" s="2136"/>
      <c r="P4" s="3663" t="s">
        <v>528</v>
      </c>
      <c r="Q4" s="3664"/>
      <c r="R4" s="3669" t="s">
        <v>524</v>
      </c>
      <c r="S4" s="3670"/>
      <c r="T4" s="3669" t="s">
        <v>525</v>
      </c>
      <c r="U4" s="3670"/>
      <c r="V4" s="3656" t="s">
        <v>526</v>
      </c>
      <c r="W4" s="3656"/>
      <c r="X4" s="1568"/>
      <c r="Y4" s="3669" t="s">
        <v>528</v>
      </c>
      <c r="Z4" s="3670"/>
      <c r="AA4" s="3658" t="s">
        <v>524</v>
      </c>
      <c r="AB4" s="3658" t="s">
        <v>525</v>
      </c>
      <c r="AC4" s="3658" t="s">
        <v>526</v>
      </c>
    </row>
    <row r="5" spans="1:29" ht="15">
      <c r="A5" s="515"/>
      <c r="B5" s="516"/>
      <c r="C5" s="3677" t="s">
        <v>2938</v>
      </c>
      <c r="D5" s="3678"/>
      <c r="E5" s="3697" t="s">
        <v>2939</v>
      </c>
      <c r="F5" s="3698"/>
      <c r="G5" s="3677" t="s">
        <v>2940</v>
      </c>
      <c r="H5" s="3678"/>
      <c r="I5" s="3677" t="s">
        <v>2941</v>
      </c>
      <c r="J5" s="3678"/>
      <c r="K5" s="854"/>
      <c r="L5" s="2135"/>
      <c r="M5" s="2136"/>
      <c r="N5" s="2136"/>
      <c r="O5" s="2136"/>
      <c r="P5" s="3665"/>
      <c r="Q5" s="3666"/>
      <c r="R5" s="3671"/>
      <c r="S5" s="3672"/>
      <c r="T5" s="3671"/>
      <c r="U5" s="3672"/>
      <c r="V5" s="3656"/>
      <c r="W5" s="3656"/>
      <c r="X5" s="1568"/>
      <c r="Y5" s="3671"/>
      <c r="Z5" s="3672"/>
      <c r="AA5" s="3659"/>
      <c r="AB5" s="3659"/>
      <c r="AC5" s="3659"/>
    </row>
    <row r="6" spans="1:29" ht="15.75" thickBot="1">
      <c r="A6" s="517"/>
      <c r="B6" s="518"/>
      <c r="C6" s="3675" t="s">
        <v>2942</v>
      </c>
      <c r="D6" s="3676"/>
      <c r="E6" s="3693" t="s">
        <v>2942</v>
      </c>
      <c r="F6" s="3694"/>
      <c r="G6" s="3675" t="s">
        <v>2942</v>
      </c>
      <c r="H6" s="3676"/>
      <c r="I6" s="3675" t="s">
        <v>2942</v>
      </c>
      <c r="J6" s="3676"/>
      <c r="K6" s="854" t="s">
        <v>529</v>
      </c>
      <c r="L6" s="2135"/>
      <c r="M6" s="2136"/>
      <c r="N6" s="2136"/>
      <c r="O6" s="2136"/>
      <c r="P6" s="3667"/>
      <c r="Q6" s="3668"/>
      <c r="R6" s="3671"/>
      <c r="S6" s="3672"/>
      <c r="T6" s="3673"/>
      <c r="U6" s="3674"/>
      <c r="V6" s="3656"/>
      <c r="W6" s="3656"/>
      <c r="X6" s="1568"/>
      <c r="Y6" s="3673"/>
      <c r="Z6" s="3674"/>
      <c r="AA6" s="3660"/>
      <c r="AB6" s="3660"/>
      <c r="AC6" s="3660"/>
    </row>
    <row r="7" spans="1:29" s="1220" customFormat="1" ht="15.75" thickBot="1">
      <c r="A7" s="2939"/>
      <c r="B7" s="2946" t="s">
        <v>530</v>
      </c>
      <c r="C7" s="519">
        <f>'数据-取费表'!B2</f>
        <v>43174</v>
      </c>
      <c r="D7" s="520">
        <v>100</v>
      </c>
      <c r="E7" s="521"/>
      <c r="F7" s="522">
        <f>SUMIF(58:58,YEAR(E7)&amp;"-"&amp;MONTH(E7),59:59)</f>
        <v>0</v>
      </c>
      <c r="G7" s="523"/>
      <c r="H7" s="520">
        <f>SUMIF(58:58,YEAR(G7)&amp;"-"&amp;MONTH(G7),59:59)</f>
        <v>0</v>
      </c>
      <c r="I7" s="523"/>
      <c r="J7" s="520">
        <f>SUMIF(58:58,YEAR(I7)&amp;"-"&amp;MONTH(I7),59:59)</f>
        <v>0</v>
      </c>
      <c r="K7" s="855"/>
      <c r="L7" s="2137"/>
      <c r="M7" s="2138"/>
      <c r="N7" s="2138"/>
      <c r="O7" s="2138"/>
      <c r="P7" s="3686" t="s">
        <v>531</v>
      </c>
      <c r="Q7" s="3688"/>
      <c r="R7" s="1569" t="s">
        <v>13</v>
      </c>
      <c r="S7" s="1570">
        <f t="shared" ref="S7:S15" si="0">F7</f>
        <v>0</v>
      </c>
      <c r="T7" s="1569" t="s">
        <v>13</v>
      </c>
      <c r="U7" s="1570">
        <f t="shared" ref="U7:U15" si="1">H7</f>
        <v>0</v>
      </c>
      <c r="V7" s="1569" t="s">
        <v>13</v>
      </c>
      <c r="W7" s="1570">
        <f t="shared" ref="W7:W15" si="2">J7</f>
        <v>0</v>
      </c>
      <c r="X7" s="1571"/>
      <c r="Y7" s="3686" t="s">
        <v>531</v>
      </c>
      <c r="Z7" s="3687"/>
      <c r="AA7" s="1572" t="e">
        <f>D7/F7</f>
        <v>#DIV/0!</v>
      </c>
      <c r="AB7" s="1572" t="e">
        <f>D7/H7</f>
        <v>#DIV/0!</v>
      </c>
      <c r="AC7" s="1572" t="e">
        <f>D7/J7</f>
        <v>#DIV/0!</v>
      </c>
    </row>
    <row r="8" spans="1:29" s="1220" customFormat="1" ht="15.75" thickBot="1">
      <c r="A8" s="2940"/>
      <c r="B8" s="2947" t="s">
        <v>532</v>
      </c>
      <c r="C8" s="525" t="s">
        <v>577</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686" t="s">
        <v>534</v>
      </c>
      <c r="Q8" s="3687"/>
      <c r="R8" s="1569" t="s">
        <v>13</v>
      </c>
      <c r="S8" s="1570">
        <f t="shared" si="0"/>
        <v>0</v>
      </c>
      <c r="T8" s="1569" t="s">
        <v>13</v>
      </c>
      <c r="U8" s="1570">
        <f t="shared" si="1"/>
        <v>0</v>
      </c>
      <c r="V8" s="1569" t="s">
        <v>13</v>
      </c>
      <c r="W8" s="1570">
        <f t="shared" si="2"/>
        <v>0</v>
      </c>
      <c r="X8" s="1571"/>
      <c r="Y8" s="3686" t="s">
        <v>534</v>
      </c>
      <c r="Z8" s="3687"/>
      <c r="AA8" s="1572" t="e">
        <f t="shared" ref="AA8:AA46" si="3">D8/F8</f>
        <v>#DIV/0!</v>
      </c>
      <c r="AB8" s="1572" t="e">
        <f t="shared" ref="AB8:AB46" si="4">D8/H8</f>
        <v>#DIV/0!</v>
      </c>
      <c r="AC8" s="1572" t="e">
        <f t="shared" ref="AC8:AC46" si="5">D8/J8</f>
        <v>#DIV/0!</v>
      </c>
    </row>
    <row r="9" spans="1:29" s="1220" customFormat="1" ht="15">
      <c r="A9" s="2941"/>
      <c r="B9" s="2948" t="s">
        <v>2763</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655" t="s">
        <v>536</v>
      </c>
      <c r="Q9" s="1151" t="str">
        <f t="shared" ref="Q9:Q15" si="6">B9</f>
        <v>用途</v>
      </c>
      <c r="R9" s="1569" t="s">
        <v>8</v>
      </c>
      <c r="S9" s="1570">
        <f t="shared" si="0"/>
        <v>100</v>
      </c>
      <c r="T9" s="1569" t="s">
        <v>8</v>
      </c>
      <c r="U9" s="1570">
        <f t="shared" si="1"/>
        <v>100</v>
      </c>
      <c r="V9" s="1569" t="s">
        <v>8</v>
      </c>
      <c r="W9" s="1570">
        <f t="shared" si="2"/>
        <v>100</v>
      </c>
      <c r="X9" s="1571"/>
      <c r="Y9" s="3601"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655"/>
      <c r="Q10" s="1151" t="str">
        <f t="shared" si="6"/>
        <v>土地使用年限（年）</v>
      </c>
      <c r="R10" s="1569" t="s">
        <v>8</v>
      </c>
      <c r="S10" s="1570">
        <f t="shared" si="0"/>
        <v>100</v>
      </c>
      <c r="T10" s="1569" t="s">
        <v>8</v>
      </c>
      <c r="U10" s="1570">
        <f t="shared" si="1"/>
        <v>100</v>
      </c>
      <c r="V10" s="1569" t="s">
        <v>8</v>
      </c>
      <c r="W10" s="1570">
        <f t="shared" si="2"/>
        <v>100</v>
      </c>
      <c r="X10" s="1571"/>
      <c r="Y10" s="3601"/>
      <c r="Z10" s="1150" t="str">
        <f t="shared" si="7"/>
        <v>土地使用年限（年）</v>
      </c>
      <c r="AA10" s="1572">
        <f t="shared" si="3"/>
        <v>1</v>
      </c>
      <c r="AB10" s="1572">
        <f t="shared" si="4"/>
        <v>1</v>
      </c>
      <c r="AC10" s="1572">
        <f t="shared" si="5"/>
        <v>1</v>
      </c>
    </row>
    <row r="11" spans="1:29" ht="15">
      <c r="A11" s="2943"/>
      <c r="B11" s="2947"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655"/>
      <c r="Q11" s="1151" t="str">
        <f t="shared" si="6"/>
        <v>容积率</v>
      </c>
      <c r="R11" s="1569" t="s">
        <v>11</v>
      </c>
      <c r="S11" s="1570" t="e">
        <f t="shared" si="0"/>
        <v>#N/A</v>
      </c>
      <c r="T11" s="1569" t="s">
        <v>11</v>
      </c>
      <c r="U11" s="1570" t="e">
        <f t="shared" si="1"/>
        <v>#N/A</v>
      </c>
      <c r="V11" s="1569" t="s">
        <v>11</v>
      </c>
      <c r="W11" s="1570" t="e">
        <f t="shared" si="2"/>
        <v>#N/A</v>
      </c>
      <c r="X11" s="1571"/>
      <c r="Y11" s="360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55"/>
      <c r="Q12" s="1151">
        <f t="shared" si="6"/>
        <v>111</v>
      </c>
      <c r="R12" s="1569" t="s">
        <v>11</v>
      </c>
      <c r="S12" s="1570">
        <f t="shared" si="0"/>
        <v>100</v>
      </c>
      <c r="T12" s="1569" t="s">
        <v>11</v>
      </c>
      <c r="U12" s="1570">
        <f t="shared" si="1"/>
        <v>100</v>
      </c>
      <c r="V12" s="1569" t="s">
        <v>11</v>
      </c>
      <c r="W12" s="1570">
        <f t="shared" si="2"/>
        <v>100</v>
      </c>
      <c r="X12" s="1571"/>
      <c r="Y12" s="3601"/>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55"/>
      <c r="Q13" s="1151">
        <f t="shared" si="6"/>
        <v>111</v>
      </c>
      <c r="R13" s="1569" t="s">
        <v>11</v>
      </c>
      <c r="S13" s="1570">
        <f t="shared" si="0"/>
        <v>100</v>
      </c>
      <c r="T13" s="1569" t="s">
        <v>11</v>
      </c>
      <c r="U13" s="1570">
        <f t="shared" si="1"/>
        <v>100</v>
      </c>
      <c r="V13" s="1569" t="s">
        <v>11</v>
      </c>
      <c r="W13" s="1570">
        <f t="shared" si="2"/>
        <v>100</v>
      </c>
      <c r="X13" s="1571"/>
      <c r="Y13" s="3601"/>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55"/>
      <c r="Q14" s="1151">
        <f t="shared" si="6"/>
        <v>111</v>
      </c>
      <c r="R14" s="1569" t="s">
        <v>11</v>
      </c>
      <c r="S14" s="1570">
        <f t="shared" si="0"/>
        <v>100</v>
      </c>
      <c r="T14" s="1569" t="s">
        <v>11</v>
      </c>
      <c r="U14" s="1570">
        <f t="shared" si="1"/>
        <v>100</v>
      </c>
      <c r="V14" s="1569" t="s">
        <v>11</v>
      </c>
      <c r="W14" s="1570">
        <f t="shared" si="2"/>
        <v>100</v>
      </c>
      <c r="X14" s="1571"/>
      <c r="Y14" s="3601"/>
      <c r="Z14" s="1150">
        <f t="shared" si="7"/>
        <v>111</v>
      </c>
      <c r="AA14" s="1572">
        <f t="shared" si="3"/>
        <v>1</v>
      </c>
      <c r="AB14" s="1572">
        <f t="shared" si="4"/>
        <v>1</v>
      </c>
      <c r="AC14" s="1572">
        <f t="shared" si="5"/>
        <v>1</v>
      </c>
    </row>
    <row r="15" spans="1:29" ht="99.75">
      <c r="A15" s="2937"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689" t="s">
        <v>541</v>
      </c>
      <c r="Q15" s="1573" t="str">
        <f t="shared" si="6"/>
        <v>居住社区成熟度</v>
      </c>
      <c r="R15" s="1574" t="s">
        <v>11</v>
      </c>
      <c r="S15" s="1575">
        <f t="shared" si="0"/>
        <v>100</v>
      </c>
      <c r="T15" s="1574" t="s">
        <v>11</v>
      </c>
      <c r="U15" s="1575">
        <f t="shared" si="1"/>
        <v>100</v>
      </c>
      <c r="V15" s="1574" t="s">
        <v>11</v>
      </c>
      <c r="W15" s="1575">
        <f t="shared" si="2"/>
        <v>100</v>
      </c>
      <c r="X15" s="1568"/>
      <c r="Y15" s="3689" t="s">
        <v>541</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690"/>
      <c r="Q16" s="1573"/>
      <c r="R16" s="1574"/>
      <c r="S16" s="1575"/>
      <c r="T16" s="1574"/>
      <c r="U16" s="1575"/>
      <c r="V16" s="1574"/>
      <c r="W16" s="1575"/>
      <c r="X16" s="1568"/>
      <c r="Y16" s="369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690"/>
      <c r="Q17" s="1573" t="str">
        <f>B17</f>
        <v>交通便捷度</v>
      </c>
      <c r="R17" s="1574" t="s">
        <v>11</v>
      </c>
      <c r="S17" s="1575">
        <f>F17</f>
        <v>100</v>
      </c>
      <c r="T17" s="1574" t="s">
        <v>11</v>
      </c>
      <c r="U17" s="1575">
        <f>H17</f>
        <v>100</v>
      </c>
      <c r="V17" s="1574" t="s">
        <v>11</v>
      </c>
      <c r="W17" s="1575">
        <f>J17</f>
        <v>100</v>
      </c>
      <c r="X17" s="1568"/>
      <c r="Y17" s="369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690"/>
      <c r="Q18" s="1573"/>
      <c r="R18" s="1574"/>
      <c r="S18" s="1575"/>
      <c r="T18" s="1574"/>
      <c r="U18" s="1575"/>
      <c r="V18" s="1574"/>
      <c r="W18" s="1575"/>
      <c r="X18" s="1568"/>
      <c r="Y18" s="3690"/>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690"/>
      <c r="Q19" s="1573" t="str">
        <f>B19</f>
        <v>公共配套设施</v>
      </c>
      <c r="R19" s="1574" t="s">
        <v>11</v>
      </c>
      <c r="S19" s="1575">
        <f>F19</f>
        <v>100</v>
      </c>
      <c r="T19" s="1574" t="s">
        <v>11</v>
      </c>
      <c r="U19" s="1575">
        <f>H19</f>
        <v>100</v>
      </c>
      <c r="V19" s="1574" t="s">
        <v>11</v>
      </c>
      <c r="W19" s="1575">
        <f>J19</f>
        <v>100</v>
      </c>
      <c r="X19" s="1568"/>
      <c r="Y19" s="369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690"/>
      <c r="Q20" s="1573"/>
      <c r="R20" s="1574"/>
      <c r="S20" s="1575"/>
      <c r="T20" s="1574"/>
      <c r="U20" s="1575"/>
      <c r="V20" s="1574"/>
      <c r="W20" s="1575"/>
      <c r="X20" s="1568"/>
      <c r="Y20" s="3690"/>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690"/>
      <c r="Q21" s="2605" t="str">
        <f>B21</f>
        <v>基础设施水平</v>
      </c>
      <c r="R21" s="1574" t="s">
        <v>11</v>
      </c>
      <c r="S21" s="1575">
        <f>F21</f>
        <v>100</v>
      </c>
      <c r="T21" s="1574" t="s">
        <v>11</v>
      </c>
      <c r="U21" s="1575">
        <f>H21</f>
        <v>100</v>
      </c>
      <c r="V21" s="1574" t="s">
        <v>11</v>
      </c>
      <c r="W21" s="1575">
        <f>J21</f>
        <v>100</v>
      </c>
      <c r="X21" s="2607"/>
      <c r="Y21" s="3690"/>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690"/>
      <c r="Q22" s="2605"/>
      <c r="R22" s="1574"/>
      <c r="S22" s="1575"/>
      <c r="T22" s="1574"/>
      <c r="U22" s="1575"/>
      <c r="V22" s="1574"/>
      <c r="W22" s="1575"/>
      <c r="X22" s="2607"/>
      <c r="Y22" s="3690"/>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690"/>
      <c r="Q23" s="1573" t="str">
        <f>B23</f>
        <v>自然及人文环境</v>
      </c>
      <c r="R23" s="1574" t="s">
        <v>11</v>
      </c>
      <c r="S23" s="1575">
        <f>F23</f>
        <v>100</v>
      </c>
      <c r="T23" s="1574" t="s">
        <v>11</v>
      </c>
      <c r="U23" s="1575">
        <f>H23</f>
        <v>100</v>
      </c>
      <c r="V23" s="1574" t="s">
        <v>11</v>
      </c>
      <c r="W23" s="1575">
        <f>J23</f>
        <v>100</v>
      </c>
      <c r="X23" s="1568"/>
      <c r="Y23" s="369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690"/>
      <c r="Q24" s="1573"/>
      <c r="R24" s="1574"/>
      <c r="S24" s="1575"/>
      <c r="T24" s="1574"/>
      <c r="U24" s="1575"/>
      <c r="V24" s="1574"/>
      <c r="W24" s="1575"/>
      <c r="X24" s="1568"/>
      <c r="Y24" s="3690"/>
      <c r="Z24" s="1576"/>
      <c r="AA24" s="1577">
        <v>1</v>
      </c>
      <c r="AB24" s="1577">
        <v>1</v>
      </c>
      <c r="AC24" s="1577">
        <v>1</v>
      </c>
    </row>
    <row r="25" spans="1:29" ht="15">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90"/>
      <c r="Q25" s="1573" t="str">
        <f t="shared" ref="Q25:Q46" si="11">B25</f>
        <v>楼层-1</v>
      </c>
      <c r="R25" s="1574" t="s">
        <v>11</v>
      </c>
      <c r="S25" s="1575">
        <f>F25</f>
        <v>100</v>
      </c>
      <c r="T25" s="1574" t="s">
        <v>11</v>
      </c>
      <c r="U25" s="1575">
        <f>H25</f>
        <v>100</v>
      </c>
      <c r="V25" s="1574" t="s">
        <v>11</v>
      </c>
      <c r="W25" s="1575">
        <f>J25</f>
        <v>100</v>
      </c>
      <c r="X25" s="1568"/>
      <c r="Y25" s="3690"/>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90"/>
      <c r="Q26" s="1573" t="str">
        <f t="shared" si="11"/>
        <v>朝向</v>
      </c>
      <c r="R26" s="1574" t="s">
        <v>11</v>
      </c>
      <c r="S26" s="1575">
        <f>F26</f>
        <v>100</v>
      </c>
      <c r="T26" s="1574" t="s">
        <v>11</v>
      </c>
      <c r="U26" s="1575">
        <f>H26</f>
        <v>100</v>
      </c>
      <c r="V26" s="1574" t="s">
        <v>11</v>
      </c>
      <c r="W26" s="1575">
        <f>J26</f>
        <v>100</v>
      </c>
      <c r="X26" s="1568"/>
      <c r="Y26" s="3690"/>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690"/>
      <c r="Q27" s="1151" t="str">
        <f t="shared" si="11"/>
        <v>道路级别</v>
      </c>
      <c r="R27" s="1569" t="s">
        <v>11</v>
      </c>
      <c r="S27" s="1570">
        <f>F27</f>
        <v>100</v>
      </c>
      <c r="T27" s="1569" t="s">
        <v>11</v>
      </c>
      <c r="U27" s="1570">
        <f>H27</f>
        <v>100</v>
      </c>
      <c r="V27" s="1569" t="s">
        <v>11</v>
      </c>
      <c r="W27" s="1570">
        <f>J27</f>
        <v>100</v>
      </c>
      <c r="X27" s="1571"/>
      <c r="Y27" s="369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90"/>
      <c r="Q28" s="1573">
        <f t="shared" si="11"/>
        <v>111</v>
      </c>
      <c r="R28" s="1574" t="s">
        <v>11</v>
      </c>
      <c r="S28" s="1575">
        <f t="shared" ref="S28:S46" si="12">F28</f>
        <v>100</v>
      </c>
      <c r="T28" s="1574" t="s">
        <v>11</v>
      </c>
      <c r="U28" s="1575">
        <f t="shared" ref="U28:U46" si="13">H28</f>
        <v>100</v>
      </c>
      <c r="V28" s="1574" t="s">
        <v>11</v>
      </c>
      <c r="W28" s="1575">
        <f t="shared" ref="W28:W46" si="14">J28</f>
        <v>100</v>
      </c>
      <c r="X28" s="1568"/>
      <c r="Y28" s="369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90"/>
      <c r="Q29" s="1573">
        <f t="shared" si="11"/>
        <v>111</v>
      </c>
      <c r="R29" s="1574" t="s">
        <v>11</v>
      </c>
      <c r="S29" s="1575">
        <f t="shared" si="12"/>
        <v>100</v>
      </c>
      <c r="T29" s="1574" t="s">
        <v>11</v>
      </c>
      <c r="U29" s="1575">
        <f t="shared" si="13"/>
        <v>100</v>
      </c>
      <c r="V29" s="1574" t="s">
        <v>11</v>
      </c>
      <c r="W29" s="1575">
        <f t="shared" si="14"/>
        <v>100</v>
      </c>
      <c r="X29" s="1568"/>
      <c r="Y29" s="369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90"/>
      <c r="Q30" s="1573">
        <f t="shared" si="11"/>
        <v>111</v>
      </c>
      <c r="R30" s="1574" t="s">
        <v>11</v>
      </c>
      <c r="S30" s="1575">
        <f t="shared" si="12"/>
        <v>100</v>
      </c>
      <c r="T30" s="1574" t="s">
        <v>11</v>
      </c>
      <c r="U30" s="1575">
        <f t="shared" si="13"/>
        <v>100</v>
      </c>
      <c r="V30" s="1574" t="s">
        <v>11</v>
      </c>
      <c r="W30" s="1575">
        <f t="shared" si="14"/>
        <v>100</v>
      </c>
      <c r="X30" s="1568"/>
      <c r="Y30" s="369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90"/>
      <c r="Q31" s="1573">
        <f t="shared" si="11"/>
        <v>111</v>
      </c>
      <c r="R31" s="1574" t="s">
        <v>11</v>
      </c>
      <c r="S31" s="1575">
        <f t="shared" si="12"/>
        <v>100</v>
      </c>
      <c r="T31" s="1574" t="s">
        <v>11</v>
      </c>
      <c r="U31" s="1575">
        <f t="shared" si="13"/>
        <v>100</v>
      </c>
      <c r="V31" s="1574" t="s">
        <v>11</v>
      </c>
      <c r="W31" s="1575">
        <f t="shared" si="14"/>
        <v>100</v>
      </c>
      <c r="X31" s="1568"/>
      <c r="Y31" s="3690"/>
      <c r="Z31" s="1576">
        <f t="shared" si="15"/>
        <v>111</v>
      </c>
      <c r="AA31" s="1577">
        <f t="shared" si="3"/>
        <v>1</v>
      </c>
      <c r="AB31" s="1577">
        <f t="shared" si="4"/>
        <v>1</v>
      </c>
      <c r="AC31" s="1577">
        <f t="shared" si="5"/>
        <v>1</v>
      </c>
    </row>
    <row r="32" spans="1:29" ht="15">
      <c r="A32" s="2934"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691" t="s">
        <v>551</v>
      </c>
      <c r="Q32" s="1573" t="str">
        <f t="shared" si="11"/>
        <v>建筑类型</v>
      </c>
      <c r="R32" s="1574" t="s">
        <v>11</v>
      </c>
      <c r="S32" s="1575">
        <f t="shared" si="12"/>
        <v>100</v>
      </c>
      <c r="T32" s="1574" t="s">
        <v>11</v>
      </c>
      <c r="U32" s="1575">
        <f t="shared" si="13"/>
        <v>100</v>
      </c>
      <c r="V32" s="1574" t="s">
        <v>11</v>
      </c>
      <c r="W32" s="1575">
        <f t="shared" si="14"/>
        <v>100</v>
      </c>
      <c r="X32" s="1568"/>
      <c r="Y32" s="3692"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692"/>
      <c r="Q33" s="1606" t="str">
        <f t="shared" si="11"/>
        <v>项目建筑规模</v>
      </c>
      <c r="R33" s="1578" t="s">
        <v>11</v>
      </c>
      <c r="S33" s="1579" t="e">
        <f t="shared" si="12"/>
        <v>#N/A</v>
      </c>
      <c r="T33" s="1578" t="s">
        <v>11</v>
      </c>
      <c r="U33" s="1579" t="e">
        <f t="shared" si="13"/>
        <v>#N/A</v>
      </c>
      <c r="V33" s="1578" t="s">
        <v>11</v>
      </c>
      <c r="W33" s="1579" t="e">
        <f t="shared" si="14"/>
        <v>#N/A</v>
      </c>
      <c r="X33" s="1580"/>
      <c r="Y33" s="3692"/>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692"/>
      <c r="Q34" s="1573" t="str">
        <f t="shared" si="11"/>
        <v>建筑结构</v>
      </c>
      <c r="R34" s="1574" t="s">
        <v>11</v>
      </c>
      <c r="S34" s="1575">
        <f t="shared" si="12"/>
        <v>100</v>
      </c>
      <c r="T34" s="1574" t="s">
        <v>11</v>
      </c>
      <c r="U34" s="1575">
        <f t="shared" si="13"/>
        <v>100</v>
      </c>
      <c r="V34" s="1574" t="s">
        <v>11</v>
      </c>
      <c r="W34" s="1575">
        <f t="shared" si="14"/>
        <v>100</v>
      </c>
      <c r="X34" s="1568"/>
      <c r="Y34" s="3692"/>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692"/>
      <c r="Q35" s="1573" t="str">
        <f t="shared" si="11"/>
        <v>建筑品质</v>
      </c>
      <c r="R35" s="1574" t="s">
        <v>11</v>
      </c>
      <c r="S35" s="1575">
        <f t="shared" si="12"/>
        <v>100</v>
      </c>
      <c r="T35" s="1574" t="s">
        <v>11</v>
      </c>
      <c r="U35" s="1575">
        <f t="shared" si="13"/>
        <v>100</v>
      </c>
      <c r="V35" s="1574" t="s">
        <v>11</v>
      </c>
      <c r="W35" s="1575">
        <f t="shared" si="14"/>
        <v>100</v>
      </c>
      <c r="X35" s="1568"/>
      <c r="Y35" s="3692"/>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692"/>
      <c r="Q36" s="1573" t="str">
        <f t="shared" si="11"/>
        <v>公共部分装修</v>
      </c>
      <c r="R36" s="1574" t="s">
        <v>11</v>
      </c>
      <c r="S36" s="1575">
        <f t="shared" si="12"/>
        <v>100</v>
      </c>
      <c r="T36" s="1574" t="s">
        <v>11</v>
      </c>
      <c r="U36" s="1575">
        <f t="shared" si="13"/>
        <v>100</v>
      </c>
      <c r="V36" s="1574" t="s">
        <v>11</v>
      </c>
      <c r="W36" s="1575">
        <f t="shared" si="14"/>
        <v>100</v>
      </c>
      <c r="X36" s="1568"/>
      <c r="Y36" s="3692"/>
      <c r="Z36" s="1576" t="str">
        <f t="shared" si="15"/>
        <v>公共部分装修</v>
      </c>
      <c r="AA36" s="1577">
        <f t="shared" si="3"/>
        <v>1</v>
      </c>
      <c r="AB36" s="1577">
        <f t="shared" si="4"/>
        <v>1</v>
      </c>
      <c r="AC36" s="1577">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692"/>
      <c r="Q37" s="1151" t="str">
        <f t="shared" si="11"/>
        <v>成新度</v>
      </c>
      <c r="R37" s="1569" t="s">
        <v>11</v>
      </c>
      <c r="S37" s="1570" t="e">
        <f t="shared" si="12"/>
        <v>#N/A</v>
      </c>
      <c r="T37" s="1569" t="s">
        <v>11</v>
      </c>
      <c r="U37" s="1570" t="e">
        <f t="shared" si="13"/>
        <v>#N/A</v>
      </c>
      <c r="V37" s="1569" t="s">
        <v>11</v>
      </c>
      <c r="W37" s="1570" t="e">
        <f t="shared" si="14"/>
        <v>#N/A</v>
      </c>
      <c r="X37" s="1571"/>
      <c r="Y37" s="3692"/>
      <c r="Z37" s="1150" t="str">
        <f t="shared" si="15"/>
        <v>成新度</v>
      </c>
      <c r="AA37" s="1572" t="e">
        <f t="shared" si="3"/>
        <v>#N/A</v>
      </c>
      <c r="AB37" s="1572" t="e">
        <f t="shared" si="4"/>
        <v>#N/A</v>
      </c>
      <c r="AC37" s="1572"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692" t="s">
        <v>551</v>
      </c>
      <c r="Q38" s="1573" t="str">
        <f t="shared" si="11"/>
        <v>物业管理</v>
      </c>
      <c r="R38" s="1574" t="s">
        <v>11</v>
      </c>
      <c r="S38" s="1575">
        <f t="shared" si="12"/>
        <v>100</v>
      </c>
      <c r="T38" s="1574" t="s">
        <v>11</v>
      </c>
      <c r="U38" s="1575">
        <f t="shared" si="13"/>
        <v>100</v>
      </c>
      <c r="V38" s="1574" t="s">
        <v>11</v>
      </c>
      <c r="W38" s="1575">
        <f t="shared" si="14"/>
        <v>100</v>
      </c>
      <c r="X38" s="1568"/>
      <c r="Y38" s="3692" t="s">
        <v>551</v>
      </c>
      <c r="Z38" s="1576" t="str">
        <f t="shared" si="15"/>
        <v>物业管理</v>
      </c>
      <c r="AA38" s="1577">
        <f t="shared" si="3"/>
        <v>1</v>
      </c>
      <c r="AB38" s="1577">
        <f t="shared" si="4"/>
        <v>1</v>
      </c>
      <c r="AC38" s="1577">
        <f t="shared" si="5"/>
        <v>1</v>
      </c>
    </row>
    <row r="39" spans="1:29" ht="15">
      <c r="A39" s="594"/>
      <c r="B39" s="1897"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692"/>
      <c r="Q39" s="1573" t="str">
        <f t="shared" si="11"/>
        <v>市政基础设施</v>
      </c>
      <c r="R39" s="1574" t="s">
        <v>11</v>
      </c>
      <c r="S39" s="1575">
        <f t="shared" si="12"/>
        <v>100</v>
      </c>
      <c r="T39" s="1574" t="s">
        <v>11</v>
      </c>
      <c r="U39" s="1575">
        <f t="shared" si="13"/>
        <v>100</v>
      </c>
      <c r="V39" s="1574" t="s">
        <v>11</v>
      </c>
      <c r="W39" s="1575">
        <f t="shared" si="14"/>
        <v>100</v>
      </c>
      <c r="X39" s="1568"/>
      <c r="Y39" s="3692"/>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692"/>
      <c r="Q40" s="1573" t="str">
        <f t="shared" si="11"/>
        <v>房型</v>
      </c>
      <c r="R40" s="1574" t="s">
        <v>11</v>
      </c>
      <c r="S40" s="1575">
        <f t="shared" si="12"/>
        <v>100</v>
      </c>
      <c r="T40" s="1574" t="s">
        <v>11</v>
      </c>
      <c r="U40" s="1575">
        <f t="shared" si="13"/>
        <v>100</v>
      </c>
      <c r="V40" s="1574" t="s">
        <v>11</v>
      </c>
      <c r="W40" s="1575">
        <f t="shared" si="14"/>
        <v>100</v>
      </c>
      <c r="X40" s="1568"/>
      <c r="Y40" s="3692"/>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692"/>
      <c r="Q41" s="1606" t="str">
        <f t="shared" si="11"/>
        <v>单套/主力户型建筑面积</v>
      </c>
      <c r="R41" s="1578" t="s">
        <v>11</v>
      </c>
      <c r="S41" s="1579">
        <f t="shared" si="12"/>
        <v>100</v>
      </c>
      <c r="T41" s="1578" t="s">
        <v>11</v>
      </c>
      <c r="U41" s="1579">
        <f t="shared" si="13"/>
        <v>100</v>
      </c>
      <c r="V41" s="1578" t="s">
        <v>11</v>
      </c>
      <c r="W41" s="1579">
        <f t="shared" si="14"/>
        <v>100</v>
      </c>
      <c r="X41" s="1580"/>
      <c r="Y41" s="3692"/>
      <c r="Z41" s="1581" t="str">
        <f t="shared" si="15"/>
        <v>单套/主力户型建筑面积</v>
      </c>
      <c r="AA41" s="1577">
        <f t="shared" si="3"/>
        <v>1</v>
      </c>
      <c r="AB41" s="1577">
        <f t="shared" si="4"/>
        <v>1</v>
      </c>
      <c r="AC41" s="1577">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692"/>
      <c r="Q42" s="1573" t="str">
        <f t="shared" si="11"/>
        <v>内部装修</v>
      </c>
      <c r="R42" s="1574" t="s">
        <v>11</v>
      </c>
      <c r="S42" s="1575">
        <f t="shared" si="12"/>
        <v>100</v>
      </c>
      <c r="T42" s="1574" t="s">
        <v>11</v>
      </c>
      <c r="U42" s="1575">
        <f t="shared" si="13"/>
        <v>100</v>
      </c>
      <c r="V42" s="1574" t="s">
        <v>11</v>
      </c>
      <c r="W42" s="1575">
        <f t="shared" si="14"/>
        <v>100</v>
      </c>
      <c r="X42" s="1568"/>
      <c r="Y42" s="3692"/>
      <c r="Z42" s="1576" t="str">
        <f t="shared" si="15"/>
        <v>内部装修</v>
      </c>
      <c r="AA42" s="1577">
        <f t="shared" si="3"/>
        <v>1</v>
      </c>
      <c r="AB42" s="1577">
        <f t="shared" si="4"/>
        <v>1</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692"/>
      <c r="Q43" s="1573" t="str">
        <f t="shared" si="11"/>
        <v>内部装修维护情况</v>
      </c>
      <c r="R43" s="1574" t="s">
        <v>11</v>
      </c>
      <c r="S43" s="1575">
        <f t="shared" si="12"/>
        <v>100</v>
      </c>
      <c r="T43" s="1574" t="s">
        <v>11</v>
      </c>
      <c r="U43" s="1575">
        <f t="shared" si="13"/>
        <v>100</v>
      </c>
      <c r="V43" s="1574" t="s">
        <v>11</v>
      </c>
      <c r="W43" s="1575">
        <f t="shared" si="14"/>
        <v>100</v>
      </c>
      <c r="X43" s="1568"/>
      <c r="Y43" s="369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92"/>
      <c r="Q44" s="1151">
        <f t="shared" si="11"/>
        <v>111</v>
      </c>
      <c r="R44" s="1569" t="s">
        <v>11</v>
      </c>
      <c r="S44" s="1570">
        <f t="shared" si="12"/>
        <v>100</v>
      </c>
      <c r="T44" s="1569" t="s">
        <v>11</v>
      </c>
      <c r="U44" s="1570">
        <f t="shared" si="13"/>
        <v>100</v>
      </c>
      <c r="V44" s="1569" t="s">
        <v>11</v>
      </c>
      <c r="W44" s="1570">
        <f t="shared" si="14"/>
        <v>100</v>
      </c>
      <c r="X44" s="1571"/>
      <c r="Y44" s="369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92"/>
      <c r="Q45" s="1573">
        <f t="shared" si="11"/>
        <v>111</v>
      </c>
      <c r="R45" s="1574" t="s">
        <v>11</v>
      </c>
      <c r="S45" s="1575">
        <f t="shared" si="12"/>
        <v>100</v>
      </c>
      <c r="T45" s="1574" t="s">
        <v>11</v>
      </c>
      <c r="U45" s="1575">
        <f t="shared" si="13"/>
        <v>100</v>
      </c>
      <c r="V45" s="1574" t="s">
        <v>11</v>
      </c>
      <c r="W45" s="1575">
        <f t="shared" si="14"/>
        <v>100</v>
      </c>
      <c r="X45" s="1568"/>
      <c r="Y45" s="369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69"/>
      <c r="Q46" s="1573">
        <f t="shared" si="11"/>
        <v>111</v>
      </c>
      <c r="R46" s="1574" t="s">
        <v>10</v>
      </c>
      <c r="S46" s="1575">
        <f t="shared" si="12"/>
        <v>100</v>
      </c>
      <c r="T46" s="1574" t="s">
        <v>10</v>
      </c>
      <c r="U46" s="1575">
        <f t="shared" si="13"/>
        <v>100</v>
      </c>
      <c r="V46" s="1574" t="s">
        <v>10</v>
      </c>
      <c r="W46" s="1575">
        <f t="shared" si="14"/>
        <v>100</v>
      </c>
      <c r="X46" s="1568"/>
      <c r="Y46" s="3769"/>
      <c r="Z46" s="1576">
        <f t="shared" si="15"/>
        <v>111</v>
      </c>
      <c r="AA46" s="1577">
        <f t="shared" si="3"/>
        <v>1</v>
      </c>
      <c r="AB46" s="1577">
        <f t="shared" si="4"/>
        <v>1</v>
      </c>
      <c r="AC46" s="1577">
        <f t="shared" si="5"/>
        <v>1</v>
      </c>
    </row>
    <row r="47" spans="1:29" ht="15">
      <c r="A47" s="607" t="s">
        <v>737</v>
      </c>
      <c r="B47" s="887"/>
      <c r="C47" s="2653" t="s">
        <v>9</v>
      </c>
      <c r="D47" s="2654"/>
      <c r="E47" s="2655"/>
      <c r="F47" s="2656"/>
      <c r="G47" s="2657"/>
      <c r="H47" s="2658"/>
      <c r="I47" s="2655"/>
      <c r="J47" s="2658"/>
      <c r="K47" s="1607"/>
      <c r="L47" s="2146"/>
      <c r="M47" s="2147"/>
      <c r="N47" s="2136"/>
      <c r="O47" s="2147"/>
      <c r="P47" s="3655" t="str">
        <f>A47</f>
        <v>成交单价（元/平方米）</v>
      </c>
      <c r="Q47" s="3655"/>
      <c r="R47" s="3768">
        <f>E47</f>
        <v>0</v>
      </c>
      <c r="S47" s="3768"/>
      <c r="T47" s="3768">
        <f>G47</f>
        <v>0</v>
      </c>
      <c r="U47" s="3768"/>
      <c r="V47" s="3768">
        <f>I47</f>
        <v>0</v>
      </c>
      <c r="W47" s="3768"/>
      <c r="X47" s="1560"/>
      <c r="Y47" s="1582"/>
      <c r="Z47" s="1560"/>
      <c r="AA47" s="1560"/>
      <c r="AB47" s="1560"/>
      <c r="AC47" s="1560"/>
    </row>
    <row r="48" spans="1:29" ht="15.75" thickBot="1">
      <c r="A48" s="615" t="s">
        <v>2767</v>
      </c>
      <c r="B48" s="888"/>
      <c r="C48" s="2659" t="e">
        <f>R49</f>
        <v>#DIV/0!</v>
      </c>
      <c r="D48" s="2660"/>
      <c r="E48" s="2661" t="e">
        <f>R48</f>
        <v>#DIV/0!</v>
      </c>
      <c r="F48" s="2661"/>
      <c r="G48" s="2659" t="e">
        <f>T48</f>
        <v>#DIV/0!</v>
      </c>
      <c r="H48" s="2660"/>
      <c r="I48" s="2661" t="e">
        <f>V48</f>
        <v>#DIV/0!</v>
      </c>
      <c r="J48" s="2660"/>
      <c r="K48" s="1608"/>
      <c r="L48" s="2146"/>
      <c r="M48" s="2147"/>
      <c r="N48" s="2147"/>
      <c r="O48" s="2147"/>
      <c r="P48" s="3655" t="str">
        <f>A48</f>
        <v>比较价格（元/平方米）</v>
      </c>
      <c r="Q48" s="3655"/>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1560"/>
      <c r="Y48" s="1560"/>
      <c r="Z48" s="1560"/>
      <c r="AA48" s="1560"/>
      <c r="AB48" s="1560"/>
      <c r="AC48" s="1560"/>
    </row>
    <row r="49" spans="1:29" ht="15.75" thickBot="1">
      <c r="A49" s="621" t="s">
        <v>2944</v>
      </c>
      <c r="B49" s="622"/>
      <c r="C49" s="2662" t="e">
        <f>R49</f>
        <v>#DIV/0!</v>
      </c>
      <c r="D49" s="2662"/>
      <c r="E49" s="2662"/>
      <c r="F49" s="2662"/>
      <c r="G49" s="2662"/>
      <c r="H49" s="2662"/>
      <c r="I49" s="2662"/>
      <c r="J49" s="2662"/>
      <c r="K49" s="1609"/>
      <c r="L49" s="2146"/>
      <c r="M49" s="2147"/>
      <c r="N49" s="2147"/>
      <c r="O49" s="2147"/>
      <c r="P49" s="3652" t="str">
        <f>A49</f>
        <v>估价对象XX用房的比较价格（楼面单价，元/平方米）</v>
      </c>
      <c r="Q49" s="3653"/>
      <c r="R49" s="3767" t="e">
        <f>IF(F1="售价",ROUND(AVERAGE(R48:V48),0),ROUND(AVERAGE(R48:V48),1))</f>
        <v>#DIV/0!</v>
      </c>
      <c r="S49" s="3767"/>
      <c r="T49" s="3767"/>
      <c r="U49" s="3767"/>
      <c r="V49" s="3767"/>
      <c r="W49" s="376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661" t="s">
        <v>523</v>
      </c>
      <c r="D4" s="3662"/>
      <c r="E4" s="3695" t="s">
        <v>524</v>
      </c>
      <c r="F4" s="3696"/>
      <c r="G4" s="3661" t="s">
        <v>525</v>
      </c>
      <c r="H4" s="3662"/>
      <c r="I4" s="3661" t="s">
        <v>526</v>
      </c>
      <c r="J4" s="3662"/>
      <c r="K4" s="514" t="s">
        <v>527</v>
      </c>
      <c r="L4" s="2135"/>
      <c r="M4" s="2136"/>
      <c r="N4" s="2136"/>
      <c r="O4" s="2136"/>
      <c r="P4" s="3663" t="s">
        <v>528</v>
      </c>
      <c r="Q4" s="3664"/>
      <c r="R4" s="3669" t="s">
        <v>524</v>
      </c>
      <c r="S4" s="3670"/>
      <c r="T4" s="3669" t="s">
        <v>525</v>
      </c>
      <c r="U4" s="3670"/>
      <c r="V4" s="3656" t="s">
        <v>526</v>
      </c>
      <c r="W4" s="3656"/>
      <c r="X4" s="1568"/>
      <c r="Y4" s="3669" t="s">
        <v>528</v>
      </c>
      <c r="Z4" s="3670"/>
      <c r="AA4" s="3658" t="s">
        <v>524</v>
      </c>
      <c r="AB4" s="3656" t="s">
        <v>525</v>
      </c>
      <c r="AC4" s="3658" t="s">
        <v>526</v>
      </c>
    </row>
    <row r="5" spans="1:29" ht="15">
      <c r="A5" s="515"/>
      <c r="B5" s="516"/>
      <c r="C5" s="3677" t="s">
        <v>2938</v>
      </c>
      <c r="D5" s="3678"/>
      <c r="E5" s="3697" t="s">
        <v>2939</v>
      </c>
      <c r="F5" s="3698"/>
      <c r="G5" s="3677" t="s">
        <v>2940</v>
      </c>
      <c r="H5" s="3678"/>
      <c r="I5" s="3677" t="s">
        <v>2941</v>
      </c>
      <c r="J5" s="3678"/>
      <c r="K5" s="514"/>
      <c r="L5" s="2135"/>
      <c r="M5" s="2136"/>
      <c r="N5" s="2136"/>
      <c r="O5" s="2136"/>
      <c r="P5" s="3665"/>
      <c r="Q5" s="3666"/>
      <c r="R5" s="3671"/>
      <c r="S5" s="3672"/>
      <c r="T5" s="3671"/>
      <c r="U5" s="3672"/>
      <c r="V5" s="3656"/>
      <c r="W5" s="3656"/>
      <c r="X5" s="1568"/>
      <c r="Y5" s="3671"/>
      <c r="Z5" s="3672"/>
      <c r="AA5" s="3659"/>
      <c r="AB5" s="3656"/>
      <c r="AC5" s="3659"/>
    </row>
    <row r="6" spans="1:29" ht="15.75" thickBot="1">
      <c r="A6" s="517"/>
      <c r="B6" s="518"/>
      <c r="C6" s="3675" t="s">
        <v>2942</v>
      </c>
      <c r="D6" s="3676"/>
      <c r="E6" s="3693" t="s">
        <v>2942</v>
      </c>
      <c r="F6" s="3694"/>
      <c r="G6" s="3675" t="s">
        <v>2942</v>
      </c>
      <c r="H6" s="3676"/>
      <c r="I6" s="3675" t="s">
        <v>2942</v>
      </c>
      <c r="J6" s="3676"/>
      <c r="K6" s="514" t="s">
        <v>529</v>
      </c>
      <c r="L6" s="2135"/>
      <c r="M6" s="2136"/>
      <c r="N6" s="2136"/>
      <c r="O6" s="2136"/>
      <c r="P6" s="3667"/>
      <c r="Q6" s="3668"/>
      <c r="R6" s="3671"/>
      <c r="S6" s="3672"/>
      <c r="T6" s="3673"/>
      <c r="U6" s="3674"/>
      <c r="V6" s="3656"/>
      <c r="W6" s="3656"/>
      <c r="X6" s="1568"/>
      <c r="Y6" s="3673"/>
      <c r="Z6" s="3674"/>
      <c r="AA6" s="3660"/>
      <c r="AB6" s="3656"/>
      <c r="AC6" s="3660"/>
    </row>
    <row r="7" spans="1:29" s="1220" customFormat="1" ht="15.75" thickBot="1">
      <c r="A7" s="2939"/>
      <c r="B7" s="2946" t="s">
        <v>530</v>
      </c>
      <c r="C7" s="519">
        <f>'数据-取费表'!B2</f>
        <v>43174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686" t="s">
        <v>531</v>
      </c>
      <c r="Q7" s="3688"/>
      <c r="R7" s="1569" t="s">
        <v>8</v>
      </c>
      <c r="S7" s="1570">
        <f t="shared" ref="S7:S15" si="0">F7</f>
        <v>0</v>
      </c>
      <c r="T7" s="1569" t="s">
        <v>8</v>
      </c>
      <c r="U7" s="1570">
        <f t="shared" ref="U7:U15" si="1">H7</f>
        <v>0</v>
      </c>
      <c r="V7" s="1569" t="s">
        <v>8</v>
      </c>
      <c r="W7" s="1570">
        <f t="shared" ref="W7:W15" si="2">J7</f>
        <v>0</v>
      </c>
      <c r="X7" s="1571"/>
      <c r="Y7" s="3686" t="s">
        <v>531</v>
      </c>
      <c r="Z7" s="3687"/>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686" t="s">
        <v>534</v>
      </c>
      <c r="Q8" s="3687"/>
      <c r="R8" s="1569" t="s">
        <v>8</v>
      </c>
      <c r="S8" s="1570">
        <f t="shared" si="0"/>
        <v>0</v>
      </c>
      <c r="T8" s="1569" t="s">
        <v>8</v>
      </c>
      <c r="U8" s="1570">
        <f t="shared" si="1"/>
        <v>0</v>
      </c>
      <c r="V8" s="1569" t="s">
        <v>8</v>
      </c>
      <c r="W8" s="1570">
        <f t="shared" si="2"/>
        <v>0</v>
      </c>
      <c r="X8" s="1571"/>
      <c r="Y8" s="3686" t="s">
        <v>534</v>
      </c>
      <c r="Z8" s="3687"/>
      <c r="AA8" s="1572" t="e">
        <f t="shared" ref="AA8:AA46" si="3">D8/F8</f>
        <v>#DIV/0!</v>
      </c>
      <c r="AB8" s="1572" t="e">
        <f t="shared" ref="AB8:AB46" si="4">D8/H8</f>
        <v>#DIV/0!</v>
      </c>
      <c r="AC8" s="1572" t="e">
        <f t="shared" ref="AC8:AC46" si="5">D8/J8</f>
        <v>#DIV/0!</v>
      </c>
    </row>
    <row r="9" spans="1:29" s="1220" customFormat="1" ht="15">
      <c r="A9" s="2941"/>
      <c r="B9" s="2948" t="s">
        <v>2763</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55" t="s">
        <v>536</v>
      </c>
      <c r="Q9" s="1151" t="str">
        <f t="shared" ref="Q9:Q15" si="6">B9</f>
        <v>用途</v>
      </c>
      <c r="R9" s="1569" t="s">
        <v>8</v>
      </c>
      <c r="S9" s="1570">
        <f t="shared" si="0"/>
        <v>100</v>
      </c>
      <c r="T9" s="1569" t="s">
        <v>8</v>
      </c>
      <c r="U9" s="1570">
        <f t="shared" si="1"/>
        <v>100</v>
      </c>
      <c r="V9" s="1569" t="s">
        <v>8</v>
      </c>
      <c r="W9" s="1570">
        <f t="shared" si="2"/>
        <v>100</v>
      </c>
      <c r="X9" s="1571"/>
      <c r="Y9" s="3601"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55"/>
      <c r="Q10" s="1151" t="str">
        <f t="shared" si="6"/>
        <v>土地使用年限（年）</v>
      </c>
      <c r="R10" s="1569" t="s">
        <v>8</v>
      </c>
      <c r="S10" s="1570">
        <f t="shared" si="0"/>
        <v>100</v>
      </c>
      <c r="T10" s="1569" t="s">
        <v>8</v>
      </c>
      <c r="U10" s="1570">
        <f t="shared" si="1"/>
        <v>100</v>
      </c>
      <c r="V10" s="1569" t="s">
        <v>8</v>
      </c>
      <c r="W10" s="1570">
        <f t="shared" si="2"/>
        <v>100</v>
      </c>
      <c r="X10" s="1571"/>
      <c r="Y10" s="3601"/>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55"/>
      <c r="Q11" s="1151" t="str">
        <f t="shared" si="6"/>
        <v>容积率</v>
      </c>
      <c r="R11" s="1569" t="s">
        <v>8</v>
      </c>
      <c r="S11" s="1570" t="e">
        <f t="shared" si="0"/>
        <v>#N/A</v>
      </c>
      <c r="T11" s="1569" t="s">
        <v>8</v>
      </c>
      <c r="U11" s="1570" t="e">
        <f t="shared" si="1"/>
        <v>#N/A</v>
      </c>
      <c r="V11" s="1569" t="s">
        <v>8</v>
      </c>
      <c r="W11" s="1570" t="e">
        <f t="shared" si="2"/>
        <v>#N/A</v>
      </c>
      <c r="X11" s="1571"/>
      <c r="Y11" s="360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55"/>
      <c r="Q12" s="1151">
        <f t="shared" si="6"/>
        <v>111</v>
      </c>
      <c r="R12" s="1569" t="s">
        <v>8</v>
      </c>
      <c r="S12" s="1570">
        <f t="shared" si="0"/>
        <v>100</v>
      </c>
      <c r="T12" s="1569" t="s">
        <v>8</v>
      </c>
      <c r="U12" s="1570">
        <f t="shared" si="1"/>
        <v>100</v>
      </c>
      <c r="V12" s="1569" t="s">
        <v>8</v>
      </c>
      <c r="W12" s="1570">
        <f t="shared" si="2"/>
        <v>100</v>
      </c>
      <c r="X12" s="1571"/>
      <c r="Y12" s="3601"/>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55"/>
      <c r="Q13" s="1151">
        <f t="shared" si="6"/>
        <v>111</v>
      </c>
      <c r="R13" s="1569" t="s">
        <v>8</v>
      </c>
      <c r="S13" s="1570">
        <f t="shared" si="0"/>
        <v>100</v>
      </c>
      <c r="T13" s="1569" t="s">
        <v>8</v>
      </c>
      <c r="U13" s="1570">
        <f t="shared" si="1"/>
        <v>100</v>
      </c>
      <c r="V13" s="1569" t="s">
        <v>8</v>
      </c>
      <c r="W13" s="1570">
        <f t="shared" si="2"/>
        <v>100</v>
      </c>
      <c r="X13" s="1571"/>
      <c r="Y13" s="3601"/>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55"/>
      <c r="Q14" s="1151">
        <f t="shared" si="6"/>
        <v>111</v>
      </c>
      <c r="R14" s="1569" t="s">
        <v>8</v>
      </c>
      <c r="S14" s="1570">
        <f t="shared" si="0"/>
        <v>100</v>
      </c>
      <c r="T14" s="1569" t="s">
        <v>8</v>
      </c>
      <c r="U14" s="1570">
        <f t="shared" si="1"/>
        <v>100</v>
      </c>
      <c r="V14" s="1569" t="s">
        <v>8</v>
      </c>
      <c r="W14" s="1570">
        <f t="shared" si="2"/>
        <v>100</v>
      </c>
      <c r="X14" s="1571"/>
      <c r="Y14" s="3601"/>
      <c r="Z14" s="1150">
        <f t="shared" si="7"/>
        <v>111</v>
      </c>
      <c r="AA14" s="1572">
        <f t="shared" si="3"/>
        <v>1</v>
      </c>
      <c r="AB14" s="1572">
        <f t="shared" si="4"/>
        <v>1</v>
      </c>
      <c r="AC14" s="1572">
        <f t="shared" si="5"/>
        <v>1</v>
      </c>
    </row>
    <row r="15" spans="1:29" ht="71.25">
      <c r="A15" s="2937"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689" t="s">
        <v>541</v>
      </c>
      <c r="Q15" s="1573" t="str">
        <f t="shared" si="6"/>
        <v>商业繁华度</v>
      </c>
      <c r="R15" s="1574" t="s">
        <v>8</v>
      </c>
      <c r="S15" s="1575">
        <f t="shared" si="0"/>
        <v>100</v>
      </c>
      <c r="T15" s="1574" t="s">
        <v>8</v>
      </c>
      <c r="U15" s="1575">
        <f t="shared" si="1"/>
        <v>100</v>
      </c>
      <c r="V15" s="1574" t="s">
        <v>8</v>
      </c>
      <c r="W15" s="1575">
        <f t="shared" si="2"/>
        <v>100</v>
      </c>
      <c r="X15" s="1568"/>
      <c r="Y15" s="3689"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90"/>
      <c r="Q16" s="1573"/>
      <c r="R16" s="1574"/>
      <c r="S16" s="1575"/>
      <c r="T16" s="1574"/>
      <c r="U16" s="1575"/>
      <c r="V16" s="1574"/>
      <c r="W16" s="1575"/>
      <c r="X16" s="1568"/>
      <c r="Y16" s="369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690"/>
      <c r="Q17" s="1573" t="str">
        <f>B17</f>
        <v>交通便捷度</v>
      </c>
      <c r="R17" s="1574" t="s">
        <v>8</v>
      </c>
      <c r="S17" s="1575">
        <f>F17</f>
        <v>100</v>
      </c>
      <c r="T17" s="1574" t="s">
        <v>8</v>
      </c>
      <c r="U17" s="1575">
        <f>H17</f>
        <v>100</v>
      </c>
      <c r="V17" s="1574" t="s">
        <v>8</v>
      </c>
      <c r="W17" s="1575">
        <f>J17</f>
        <v>100</v>
      </c>
      <c r="X17" s="1568"/>
      <c r="Y17" s="369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90"/>
      <c r="Q18" s="1573"/>
      <c r="R18" s="1574"/>
      <c r="S18" s="1575"/>
      <c r="T18" s="1574"/>
      <c r="U18" s="1575"/>
      <c r="V18" s="1574"/>
      <c r="W18" s="1575"/>
      <c r="X18" s="1568"/>
      <c r="Y18" s="3690"/>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690"/>
      <c r="Q19" s="1573" t="str">
        <f>B19</f>
        <v>公共配套设施</v>
      </c>
      <c r="R19" s="1574" t="s">
        <v>8</v>
      </c>
      <c r="S19" s="1575">
        <f>F19</f>
        <v>100</v>
      </c>
      <c r="T19" s="1574" t="s">
        <v>8</v>
      </c>
      <c r="U19" s="1575">
        <f>H19</f>
        <v>100</v>
      </c>
      <c r="V19" s="1574" t="s">
        <v>8</v>
      </c>
      <c r="W19" s="1575">
        <f>J19</f>
        <v>100</v>
      </c>
      <c r="X19" s="1568"/>
      <c r="Y19" s="369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690"/>
      <c r="Q20" s="1573"/>
      <c r="R20" s="1574"/>
      <c r="S20" s="1575"/>
      <c r="T20" s="1574"/>
      <c r="U20" s="1575"/>
      <c r="V20" s="1574"/>
      <c r="W20" s="1575"/>
      <c r="X20" s="1568"/>
      <c r="Y20" s="3690"/>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690"/>
      <c r="Q21" s="2605" t="str">
        <f>B21</f>
        <v>基础设施水平</v>
      </c>
      <c r="R21" s="1574" t="s">
        <v>8</v>
      </c>
      <c r="S21" s="1575">
        <f>F21</f>
        <v>100</v>
      </c>
      <c r="T21" s="1574" t="s">
        <v>8</v>
      </c>
      <c r="U21" s="1575">
        <f>H21</f>
        <v>100</v>
      </c>
      <c r="V21" s="1574" t="s">
        <v>8</v>
      </c>
      <c r="W21" s="1575">
        <f>J21</f>
        <v>100</v>
      </c>
      <c r="X21" s="2607"/>
      <c r="Y21" s="3690"/>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690"/>
      <c r="Q22" s="2605"/>
      <c r="R22" s="1574"/>
      <c r="S22" s="1575"/>
      <c r="T22" s="1574"/>
      <c r="U22" s="1575"/>
      <c r="V22" s="1574"/>
      <c r="W22" s="1575"/>
      <c r="X22" s="2607"/>
      <c r="Y22" s="3690"/>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690"/>
      <c r="Q23" s="1573" t="str">
        <f>B23</f>
        <v>自然及人文环境</v>
      </c>
      <c r="R23" s="1574" t="s">
        <v>8</v>
      </c>
      <c r="S23" s="1575">
        <f>F23</f>
        <v>100</v>
      </c>
      <c r="T23" s="1574" t="s">
        <v>8</v>
      </c>
      <c r="U23" s="1575">
        <f>H23</f>
        <v>100</v>
      </c>
      <c r="V23" s="1574" t="s">
        <v>8</v>
      </c>
      <c r="W23" s="1575">
        <f>J23</f>
        <v>100</v>
      </c>
      <c r="X23" s="1568"/>
      <c r="Y23" s="369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690"/>
      <c r="Q24" s="1573"/>
      <c r="R24" s="1574"/>
      <c r="S24" s="1575"/>
      <c r="T24" s="1574"/>
      <c r="U24" s="1575"/>
      <c r="V24" s="1574"/>
      <c r="W24" s="1575"/>
      <c r="X24" s="1568"/>
      <c r="Y24" s="3690"/>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690"/>
      <c r="Q25" s="1573" t="str">
        <f t="shared" ref="Q25:Q46" si="11">B25</f>
        <v>临街状况</v>
      </c>
      <c r="R25" s="1574" t="s">
        <v>8</v>
      </c>
      <c r="S25" s="1575">
        <f>F25</f>
        <v>100</v>
      </c>
      <c r="T25" s="1574" t="s">
        <v>8</v>
      </c>
      <c r="U25" s="1575">
        <f>H25</f>
        <v>100</v>
      </c>
      <c r="V25" s="1574" t="s">
        <v>8</v>
      </c>
      <c r="W25" s="1575">
        <f>J25</f>
        <v>100</v>
      </c>
      <c r="X25" s="1568"/>
      <c r="Y25" s="3690"/>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690"/>
      <c r="Q26" s="1573" t="str">
        <f t="shared" si="11"/>
        <v>平面位置/可视性</v>
      </c>
      <c r="R26" s="1574" t="s">
        <v>8</v>
      </c>
      <c r="S26" s="1575">
        <f>F26</f>
        <v>100</v>
      </c>
      <c r="T26" s="1574" t="s">
        <v>8</v>
      </c>
      <c r="U26" s="1575">
        <f>H26</f>
        <v>100</v>
      </c>
      <c r="V26" s="1574" t="s">
        <v>8</v>
      </c>
      <c r="W26" s="1575">
        <f>J26</f>
        <v>100</v>
      </c>
      <c r="X26" s="1568"/>
      <c r="Y26" s="3690"/>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690"/>
      <c r="Q27" s="1151" t="str">
        <f t="shared" si="11"/>
        <v>人流量</v>
      </c>
      <c r="R27" s="1569" t="s">
        <v>8</v>
      </c>
      <c r="S27" s="1570">
        <f>F27</f>
        <v>100</v>
      </c>
      <c r="T27" s="1569" t="s">
        <v>8</v>
      </c>
      <c r="U27" s="1570">
        <f>H27</f>
        <v>100</v>
      </c>
      <c r="V27" s="1569" t="s">
        <v>8</v>
      </c>
      <c r="W27" s="1570">
        <f>J27</f>
        <v>100</v>
      </c>
      <c r="X27" s="1571"/>
      <c r="Y27" s="3690"/>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69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9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690"/>
      <c r="Q29" s="1573">
        <f t="shared" si="11"/>
        <v>111</v>
      </c>
      <c r="R29" s="1574" t="s">
        <v>8</v>
      </c>
      <c r="S29" s="1575">
        <f t="shared" si="12"/>
        <v>100</v>
      </c>
      <c r="T29" s="1574" t="s">
        <v>8</v>
      </c>
      <c r="U29" s="1575">
        <f t="shared" si="13"/>
        <v>100</v>
      </c>
      <c r="V29" s="1574" t="s">
        <v>8</v>
      </c>
      <c r="W29" s="1575">
        <f t="shared" si="14"/>
        <v>100</v>
      </c>
      <c r="X29" s="1568"/>
      <c r="Y29" s="369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690"/>
      <c r="Q30" s="1573">
        <f t="shared" si="11"/>
        <v>111</v>
      </c>
      <c r="R30" s="1574" t="s">
        <v>8</v>
      </c>
      <c r="S30" s="1575">
        <f t="shared" si="12"/>
        <v>100</v>
      </c>
      <c r="T30" s="1574" t="s">
        <v>8</v>
      </c>
      <c r="U30" s="1575">
        <f t="shared" si="13"/>
        <v>100</v>
      </c>
      <c r="V30" s="1574" t="s">
        <v>8</v>
      </c>
      <c r="W30" s="1575">
        <f t="shared" si="14"/>
        <v>100</v>
      </c>
      <c r="X30" s="1568"/>
      <c r="Y30" s="369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690"/>
      <c r="Q31" s="1573">
        <f t="shared" si="11"/>
        <v>111</v>
      </c>
      <c r="R31" s="1574" t="s">
        <v>8</v>
      </c>
      <c r="S31" s="1575">
        <f t="shared" si="12"/>
        <v>100</v>
      </c>
      <c r="T31" s="1574" t="s">
        <v>8</v>
      </c>
      <c r="U31" s="1575">
        <f t="shared" si="13"/>
        <v>100</v>
      </c>
      <c r="V31" s="1574" t="s">
        <v>8</v>
      </c>
      <c r="W31" s="1575">
        <f t="shared" si="14"/>
        <v>100</v>
      </c>
      <c r="X31" s="1568"/>
      <c r="Y31" s="3690"/>
      <c r="Z31" s="1576">
        <f t="shared" si="15"/>
        <v>111</v>
      </c>
      <c r="AA31" s="1577">
        <f t="shared" si="3"/>
        <v>1</v>
      </c>
      <c r="AB31" s="1577">
        <f t="shared" si="4"/>
        <v>1</v>
      </c>
      <c r="AC31" s="1577">
        <f t="shared" si="5"/>
        <v>1</v>
      </c>
    </row>
    <row r="32" spans="1:29" ht="15">
      <c r="A32" s="2934"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691" t="s">
        <v>551</v>
      </c>
      <c r="Q32" s="1573" t="str">
        <f t="shared" si="11"/>
        <v>商业类型</v>
      </c>
      <c r="R32" s="1574" t="s">
        <v>8</v>
      </c>
      <c r="S32" s="1575">
        <f t="shared" si="12"/>
        <v>100</v>
      </c>
      <c r="T32" s="1574" t="s">
        <v>8</v>
      </c>
      <c r="U32" s="1575">
        <f t="shared" si="13"/>
        <v>100</v>
      </c>
      <c r="V32" s="1574" t="s">
        <v>8</v>
      </c>
      <c r="W32" s="1575">
        <f t="shared" si="14"/>
        <v>100</v>
      </c>
      <c r="X32" s="1568"/>
      <c r="Y32" s="3692"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692"/>
      <c r="Q33" s="1606" t="str">
        <f t="shared" si="11"/>
        <v>项目建筑规模</v>
      </c>
      <c r="R33" s="1578" t="s">
        <v>8</v>
      </c>
      <c r="S33" s="1579" t="e">
        <f t="shared" si="12"/>
        <v>#N/A</v>
      </c>
      <c r="T33" s="1578" t="s">
        <v>8</v>
      </c>
      <c r="U33" s="1579" t="e">
        <f t="shared" si="13"/>
        <v>#N/A</v>
      </c>
      <c r="V33" s="1578" t="s">
        <v>8</v>
      </c>
      <c r="W33" s="1579" t="e">
        <f t="shared" si="14"/>
        <v>#N/A</v>
      </c>
      <c r="X33" s="1580"/>
      <c r="Y33" s="3692"/>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692"/>
      <c r="Q34" s="1573" t="str">
        <f t="shared" si="11"/>
        <v>建筑结构</v>
      </c>
      <c r="R34" s="1574" t="s">
        <v>8</v>
      </c>
      <c r="S34" s="1575">
        <f t="shared" si="12"/>
        <v>100</v>
      </c>
      <c r="T34" s="1574" t="s">
        <v>8</v>
      </c>
      <c r="U34" s="1575">
        <f t="shared" si="13"/>
        <v>100</v>
      </c>
      <c r="V34" s="1574" t="s">
        <v>8</v>
      </c>
      <c r="W34" s="1575">
        <f t="shared" si="14"/>
        <v>100</v>
      </c>
      <c r="X34" s="1568"/>
      <c r="Y34" s="3692"/>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692"/>
      <c r="Q35" s="1573" t="str">
        <f t="shared" si="11"/>
        <v>公共部分装修</v>
      </c>
      <c r="R35" s="1574" t="s">
        <v>8</v>
      </c>
      <c r="S35" s="1575">
        <f t="shared" si="12"/>
        <v>100</v>
      </c>
      <c r="T35" s="1574" t="s">
        <v>8</v>
      </c>
      <c r="U35" s="1575">
        <f t="shared" si="13"/>
        <v>100</v>
      </c>
      <c r="V35" s="1574" t="s">
        <v>8</v>
      </c>
      <c r="W35" s="1575">
        <f t="shared" si="14"/>
        <v>100</v>
      </c>
      <c r="X35" s="1568"/>
      <c r="Y35" s="3692"/>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692"/>
      <c r="Q36" s="1573" t="str">
        <f t="shared" si="11"/>
        <v>成新度</v>
      </c>
      <c r="R36" s="1574" t="s">
        <v>8</v>
      </c>
      <c r="S36" s="1575" t="e">
        <f t="shared" si="12"/>
        <v>#N/A</v>
      </c>
      <c r="T36" s="1574" t="s">
        <v>8</v>
      </c>
      <c r="U36" s="1575" t="e">
        <f t="shared" si="13"/>
        <v>#N/A</v>
      </c>
      <c r="V36" s="1574" t="s">
        <v>8</v>
      </c>
      <c r="W36" s="1575" t="e">
        <f t="shared" si="14"/>
        <v>#N/A</v>
      </c>
      <c r="X36" s="1568"/>
      <c r="Y36" s="3692"/>
      <c r="Z36" s="1576" t="str">
        <f t="shared" si="15"/>
        <v>成新度</v>
      </c>
      <c r="AA36" s="1577" t="e">
        <f t="shared" si="3"/>
        <v>#N/A</v>
      </c>
      <c r="AB36" s="1577" t="e">
        <f t="shared" si="4"/>
        <v>#N/A</v>
      </c>
      <c r="AC36" s="1577" t="e">
        <f t="shared" si="5"/>
        <v>#N/A</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692"/>
      <c r="Q37" s="1151" t="str">
        <f t="shared" si="11"/>
        <v>市政基础设施</v>
      </c>
      <c r="R37" s="1569" t="s">
        <v>8</v>
      </c>
      <c r="S37" s="1570">
        <f t="shared" si="12"/>
        <v>100</v>
      </c>
      <c r="T37" s="1569" t="s">
        <v>8</v>
      </c>
      <c r="U37" s="1570">
        <f t="shared" si="13"/>
        <v>100</v>
      </c>
      <c r="V37" s="1569" t="s">
        <v>8</v>
      </c>
      <c r="W37" s="1570">
        <f t="shared" si="14"/>
        <v>100</v>
      </c>
      <c r="X37" s="1571"/>
      <c r="Y37" s="3692"/>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692" t="s">
        <v>767</v>
      </c>
      <c r="Q38" s="1573" t="str">
        <f t="shared" si="11"/>
        <v>业态</v>
      </c>
      <c r="R38" s="1574" t="s">
        <v>8</v>
      </c>
      <c r="S38" s="1575">
        <f t="shared" si="12"/>
        <v>100</v>
      </c>
      <c r="T38" s="1574" t="s">
        <v>8</v>
      </c>
      <c r="U38" s="1575">
        <f t="shared" si="13"/>
        <v>100</v>
      </c>
      <c r="V38" s="1574" t="s">
        <v>8</v>
      </c>
      <c r="W38" s="1575">
        <f t="shared" si="14"/>
        <v>100</v>
      </c>
      <c r="X38" s="1568"/>
      <c r="Y38" s="3692"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92"/>
      <c r="Q39" s="1573" t="str">
        <f t="shared" si="11"/>
        <v>层高</v>
      </c>
      <c r="R39" s="1574" t="s">
        <v>8</v>
      </c>
      <c r="S39" s="1575">
        <f t="shared" si="12"/>
        <v>100</v>
      </c>
      <c r="T39" s="1574" t="s">
        <v>8</v>
      </c>
      <c r="U39" s="1575">
        <f t="shared" si="13"/>
        <v>100</v>
      </c>
      <c r="V39" s="1574" t="s">
        <v>8</v>
      </c>
      <c r="W39" s="1575">
        <f t="shared" si="14"/>
        <v>100</v>
      </c>
      <c r="X39" s="1568"/>
      <c r="Y39" s="3692"/>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692"/>
      <c r="Q40" s="1573" t="str">
        <f t="shared" si="11"/>
        <v>单套建筑面积</v>
      </c>
      <c r="R40" s="1574" t="s">
        <v>8</v>
      </c>
      <c r="S40" s="1575">
        <f t="shared" si="12"/>
        <v>100</v>
      </c>
      <c r="T40" s="1574" t="s">
        <v>8</v>
      </c>
      <c r="U40" s="1575">
        <f t="shared" si="13"/>
        <v>100</v>
      </c>
      <c r="V40" s="1574" t="s">
        <v>8</v>
      </c>
      <c r="W40" s="1575">
        <f t="shared" si="14"/>
        <v>100</v>
      </c>
      <c r="X40" s="1568"/>
      <c r="Y40" s="3692"/>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692"/>
      <c r="Q41" s="1606" t="str">
        <f t="shared" si="11"/>
        <v>进深比</v>
      </c>
      <c r="R41" s="1578" t="s">
        <v>8</v>
      </c>
      <c r="S41" s="1579">
        <f t="shared" si="12"/>
        <v>100</v>
      </c>
      <c r="T41" s="1578" t="s">
        <v>8</v>
      </c>
      <c r="U41" s="1579">
        <f t="shared" si="13"/>
        <v>100</v>
      </c>
      <c r="V41" s="1578" t="s">
        <v>8</v>
      </c>
      <c r="W41" s="1579">
        <f t="shared" si="14"/>
        <v>100</v>
      </c>
      <c r="X41" s="1580"/>
      <c r="Y41" s="3692"/>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692"/>
      <c r="Q42" s="1573" t="str">
        <f t="shared" si="11"/>
        <v>内部装修</v>
      </c>
      <c r="R42" s="1574" t="s">
        <v>8</v>
      </c>
      <c r="S42" s="1575">
        <f t="shared" si="12"/>
        <v>100</v>
      </c>
      <c r="T42" s="1574" t="s">
        <v>8</v>
      </c>
      <c r="U42" s="1575">
        <f t="shared" si="13"/>
        <v>100</v>
      </c>
      <c r="V42" s="1574" t="s">
        <v>8</v>
      </c>
      <c r="W42" s="1575">
        <f t="shared" si="14"/>
        <v>100</v>
      </c>
      <c r="X42" s="1568"/>
      <c r="Y42" s="3692"/>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692"/>
      <c r="Q43" s="1573" t="str">
        <f t="shared" si="11"/>
        <v>内部装修维护情况</v>
      </c>
      <c r="R43" s="1574" t="s">
        <v>8</v>
      </c>
      <c r="S43" s="1575">
        <f t="shared" si="12"/>
        <v>100</v>
      </c>
      <c r="T43" s="1574" t="s">
        <v>8</v>
      </c>
      <c r="U43" s="1575">
        <f t="shared" si="13"/>
        <v>100</v>
      </c>
      <c r="V43" s="1574" t="s">
        <v>8</v>
      </c>
      <c r="W43" s="1575">
        <f t="shared" si="14"/>
        <v>100</v>
      </c>
      <c r="X43" s="1568"/>
      <c r="Y43" s="369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692"/>
      <c r="Q44" s="1151">
        <f t="shared" si="11"/>
        <v>111</v>
      </c>
      <c r="R44" s="1569" t="s">
        <v>8</v>
      </c>
      <c r="S44" s="1570">
        <f t="shared" si="12"/>
        <v>100</v>
      </c>
      <c r="T44" s="1569" t="s">
        <v>8</v>
      </c>
      <c r="U44" s="1570">
        <f t="shared" si="13"/>
        <v>100</v>
      </c>
      <c r="V44" s="1569" t="s">
        <v>8</v>
      </c>
      <c r="W44" s="1570">
        <f t="shared" si="14"/>
        <v>100</v>
      </c>
      <c r="X44" s="1571"/>
      <c r="Y44" s="369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692"/>
      <c r="Q45" s="1573">
        <f t="shared" si="11"/>
        <v>111</v>
      </c>
      <c r="R45" s="1574" t="s">
        <v>8</v>
      </c>
      <c r="S45" s="1575">
        <f t="shared" si="12"/>
        <v>100</v>
      </c>
      <c r="T45" s="1574" t="s">
        <v>8</v>
      </c>
      <c r="U45" s="1575">
        <f t="shared" si="13"/>
        <v>100</v>
      </c>
      <c r="V45" s="1574" t="s">
        <v>8</v>
      </c>
      <c r="W45" s="1575">
        <f t="shared" si="14"/>
        <v>100</v>
      </c>
      <c r="X45" s="1568"/>
      <c r="Y45" s="369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69"/>
      <c r="Q46" s="1573">
        <f t="shared" si="11"/>
        <v>111</v>
      </c>
      <c r="R46" s="1574" t="s">
        <v>8</v>
      </c>
      <c r="S46" s="1575">
        <f t="shared" si="12"/>
        <v>100</v>
      </c>
      <c r="T46" s="1574" t="s">
        <v>8</v>
      </c>
      <c r="U46" s="1575">
        <f t="shared" si="13"/>
        <v>100</v>
      </c>
      <c r="V46" s="1574" t="s">
        <v>8</v>
      </c>
      <c r="W46" s="1575">
        <f t="shared" si="14"/>
        <v>100</v>
      </c>
      <c r="X46" s="1568"/>
      <c r="Y46" s="3769"/>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655" t="str">
        <f>A47</f>
        <v>成交单价（元/平方米）</v>
      </c>
      <c r="Q47" s="3655"/>
      <c r="R47" s="3768">
        <f>E47</f>
        <v>0</v>
      </c>
      <c r="S47" s="3768"/>
      <c r="T47" s="3768">
        <f>G47</f>
        <v>0</v>
      </c>
      <c r="U47" s="3768"/>
      <c r="V47" s="3768">
        <f>I47</f>
        <v>0</v>
      </c>
      <c r="W47" s="3768"/>
      <c r="X47" s="1560"/>
      <c r="Y47" s="1582"/>
      <c r="Z47" s="1560"/>
      <c r="AA47" s="1560"/>
      <c r="AB47" s="1560"/>
      <c r="AC47" s="1560"/>
    </row>
    <row r="48" spans="1:29" ht="15.75" thickBot="1">
      <c r="A48" s="615" t="s">
        <v>2767</v>
      </c>
      <c r="B48" s="888"/>
      <c r="C48" s="2659" t="e">
        <f>R49</f>
        <v>#DIV/0!</v>
      </c>
      <c r="D48" s="2660"/>
      <c r="E48" s="2661" t="e">
        <f>R48</f>
        <v>#DIV/0!</v>
      </c>
      <c r="F48" s="2661"/>
      <c r="G48" s="2659" t="e">
        <f>T48</f>
        <v>#DIV/0!</v>
      </c>
      <c r="H48" s="2660"/>
      <c r="I48" s="2661" t="e">
        <f>V48</f>
        <v>#DIV/0!</v>
      </c>
      <c r="J48" s="2660"/>
      <c r="K48" s="1613"/>
      <c r="L48" s="2146"/>
      <c r="M48" s="2147"/>
      <c r="N48" s="2136"/>
      <c r="O48" s="2147"/>
      <c r="P48" s="3655" t="str">
        <f>A48</f>
        <v>比较价格（元/平方米）</v>
      </c>
      <c r="Q48" s="3655"/>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1560"/>
      <c r="Y48" s="1560"/>
      <c r="Z48" s="1560"/>
      <c r="AA48" s="1560"/>
      <c r="AB48" s="1560"/>
      <c r="AC48" s="1560"/>
    </row>
    <row r="49" spans="1:29" ht="15.75" thickBot="1">
      <c r="A49" s="621" t="s">
        <v>2944</v>
      </c>
      <c r="B49" s="622"/>
      <c r="C49" s="2662" t="e">
        <f>R49</f>
        <v>#DIV/0!</v>
      </c>
      <c r="D49" s="2662"/>
      <c r="E49" s="2662"/>
      <c r="F49" s="2662"/>
      <c r="G49" s="2662"/>
      <c r="H49" s="2662"/>
      <c r="I49" s="2662"/>
      <c r="J49" s="2662"/>
      <c r="K49" s="1614"/>
      <c r="L49" s="2146"/>
      <c r="M49" s="2147"/>
      <c r="N49" s="2136"/>
      <c r="O49" s="2147"/>
      <c r="P49" s="3652" t="str">
        <f>A49</f>
        <v>估价对象XX用房的比较价格（楼面单价，元/平方米）</v>
      </c>
      <c r="Q49" s="3653"/>
      <c r="R49" s="3767" t="e">
        <f>IF(F1="售价",ROUND(AVERAGE(R48:V48),0),ROUND(AVERAGE(R48:V48),1))</f>
        <v>#DIV/0!</v>
      </c>
      <c r="S49" s="3767"/>
      <c r="T49" s="3767"/>
      <c r="U49" s="3767"/>
      <c r="V49" s="3767"/>
      <c r="W49" s="376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661" t="s">
        <v>523</v>
      </c>
      <c r="D4" s="3662"/>
      <c r="E4" s="3695" t="s">
        <v>524</v>
      </c>
      <c r="F4" s="3696"/>
      <c r="G4" s="3661" t="s">
        <v>525</v>
      </c>
      <c r="H4" s="3662"/>
      <c r="I4" s="3661" t="s">
        <v>526</v>
      </c>
      <c r="J4" s="3662"/>
      <c r="K4" s="514" t="s">
        <v>527</v>
      </c>
      <c r="L4" s="2135"/>
      <c r="M4" s="2136"/>
      <c r="N4" s="2136"/>
      <c r="O4" s="2136"/>
      <c r="P4" s="3771" t="s">
        <v>528</v>
      </c>
      <c r="Q4" s="3664"/>
      <c r="R4" s="3669" t="s">
        <v>524</v>
      </c>
      <c r="S4" s="3670"/>
      <c r="T4" s="3669" t="s">
        <v>525</v>
      </c>
      <c r="U4" s="3670"/>
      <c r="V4" s="3656" t="s">
        <v>526</v>
      </c>
      <c r="W4" s="3656"/>
      <c r="X4" s="1568"/>
      <c r="Y4" s="3669" t="s">
        <v>528</v>
      </c>
      <c r="Z4" s="3670"/>
      <c r="AA4" s="3658" t="s">
        <v>524</v>
      </c>
      <c r="AB4" s="3658" t="s">
        <v>525</v>
      </c>
      <c r="AC4" s="3658" t="s">
        <v>526</v>
      </c>
    </row>
    <row r="5" spans="1:29" ht="15">
      <c r="A5" s="515"/>
      <c r="B5" s="516"/>
      <c r="C5" s="3677" t="s">
        <v>2938</v>
      </c>
      <c r="D5" s="3678"/>
      <c r="E5" s="3697" t="s">
        <v>2939</v>
      </c>
      <c r="F5" s="3698"/>
      <c r="G5" s="3677" t="s">
        <v>2940</v>
      </c>
      <c r="H5" s="3678"/>
      <c r="I5" s="3677" t="s">
        <v>2941</v>
      </c>
      <c r="J5" s="3678"/>
      <c r="K5" s="514"/>
      <c r="L5" s="2135"/>
      <c r="M5" s="2136"/>
      <c r="N5" s="2136"/>
      <c r="O5" s="2136"/>
      <c r="P5" s="3772"/>
      <c r="Q5" s="3666"/>
      <c r="R5" s="3671"/>
      <c r="S5" s="3672"/>
      <c r="T5" s="3671"/>
      <c r="U5" s="3672"/>
      <c r="V5" s="3656"/>
      <c r="W5" s="3656"/>
      <c r="X5" s="1568"/>
      <c r="Y5" s="3671"/>
      <c r="Z5" s="3672"/>
      <c r="AA5" s="3659"/>
      <c r="AB5" s="3659"/>
      <c r="AC5" s="3659"/>
    </row>
    <row r="6" spans="1:29" ht="15.75" thickBot="1">
      <c r="A6" s="517"/>
      <c r="B6" s="518"/>
      <c r="C6" s="3675" t="s">
        <v>2942</v>
      </c>
      <c r="D6" s="3676"/>
      <c r="E6" s="3693" t="s">
        <v>2942</v>
      </c>
      <c r="F6" s="3694"/>
      <c r="G6" s="3675" t="s">
        <v>2942</v>
      </c>
      <c r="H6" s="3676"/>
      <c r="I6" s="3675" t="s">
        <v>2942</v>
      </c>
      <c r="J6" s="3676"/>
      <c r="K6" s="514" t="s">
        <v>529</v>
      </c>
      <c r="L6" s="2135"/>
      <c r="M6" s="2136"/>
      <c r="N6" s="2136"/>
      <c r="O6" s="2136"/>
      <c r="P6" s="3773"/>
      <c r="Q6" s="3668"/>
      <c r="R6" s="3671"/>
      <c r="S6" s="3672"/>
      <c r="T6" s="3673"/>
      <c r="U6" s="3674"/>
      <c r="V6" s="3656"/>
      <c r="W6" s="3656"/>
      <c r="X6" s="1568"/>
      <c r="Y6" s="3673"/>
      <c r="Z6" s="3674"/>
      <c r="AA6" s="3660"/>
      <c r="AB6" s="3660"/>
      <c r="AC6" s="3660"/>
    </row>
    <row r="7" spans="1:29" s="1220" customFormat="1" ht="15.75" thickBot="1">
      <c r="A7" s="2939"/>
      <c r="B7" s="2946" t="s">
        <v>530</v>
      </c>
      <c r="C7" s="519">
        <f>'数据-取费表'!B2</f>
        <v>43174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688" t="s">
        <v>531</v>
      </c>
      <c r="Q7" s="3688"/>
      <c r="R7" s="1569" t="s">
        <v>8</v>
      </c>
      <c r="S7" s="1570">
        <f t="shared" ref="S7:S15" si="0">F7</f>
        <v>0</v>
      </c>
      <c r="T7" s="1569" t="s">
        <v>8</v>
      </c>
      <c r="U7" s="1570">
        <f t="shared" ref="U7:U15" si="1">H7</f>
        <v>0</v>
      </c>
      <c r="V7" s="1569" t="s">
        <v>8</v>
      </c>
      <c r="W7" s="1570">
        <f t="shared" ref="W7:W15" si="2">J7</f>
        <v>0</v>
      </c>
      <c r="X7" s="1571"/>
      <c r="Y7" s="3686" t="s">
        <v>531</v>
      </c>
      <c r="Z7" s="3687"/>
      <c r="AA7" s="1572" t="e">
        <f>D7/F7</f>
        <v>#DIV/0!</v>
      </c>
      <c r="AB7" s="1572" t="e">
        <f>D7/H7</f>
        <v>#DIV/0!</v>
      </c>
      <c r="AC7" s="1572" t="e">
        <f>D7/J7</f>
        <v>#DIV/0!</v>
      </c>
    </row>
    <row r="8" spans="1:29" s="1220" customFormat="1" ht="15.75" thickBot="1">
      <c r="A8" s="2940"/>
      <c r="B8" s="2947"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688" t="s">
        <v>534</v>
      </c>
      <c r="Q8" s="3687"/>
      <c r="R8" s="1569" t="s">
        <v>8</v>
      </c>
      <c r="S8" s="1570">
        <f t="shared" si="0"/>
        <v>0</v>
      </c>
      <c r="T8" s="1569" t="s">
        <v>8</v>
      </c>
      <c r="U8" s="1570">
        <f t="shared" si="1"/>
        <v>0</v>
      </c>
      <c r="V8" s="1569" t="s">
        <v>8</v>
      </c>
      <c r="W8" s="1570">
        <f t="shared" si="2"/>
        <v>0</v>
      </c>
      <c r="X8" s="1571"/>
      <c r="Y8" s="3686" t="s">
        <v>534</v>
      </c>
      <c r="Z8" s="3687"/>
      <c r="AA8" s="1572" t="e">
        <f t="shared" ref="AA8:AA47" si="3">D8/F8</f>
        <v>#DIV/0!</v>
      </c>
      <c r="AB8" s="1572" t="e">
        <f t="shared" ref="AB8:AB47" si="4">D8/H8</f>
        <v>#DIV/0!</v>
      </c>
      <c r="AC8" s="1572" t="e">
        <f t="shared" ref="AC8:AC47" si="5">D8/J8</f>
        <v>#DIV/0!</v>
      </c>
    </row>
    <row r="9" spans="1:29" s="1220" customFormat="1" ht="15">
      <c r="A9" s="2941"/>
      <c r="B9" s="2948" t="s">
        <v>2763</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55" t="s">
        <v>536</v>
      </c>
      <c r="Q9" s="1151" t="str">
        <f t="shared" ref="Q9:Q15" si="6">B9</f>
        <v>用途</v>
      </c>
      <c r="R9" s="1569" t="s">
        <v>8</v>
      </c>
      <c r="S9" s="1570">
        <f t="shared" si="0"/>
        <v>100</v>
      </c>
      <c r="T9" s="1569" t="s">
        <v>8</v>
      </c>
      <c r="U9" s="1570">
        <f t="shared" si="1"/>
        <v>100</v>
      </c>
      <c r="V9" s="1569" t="s">
        <v>8</v>
      </c>
      <c r="W9" s="1570">
        <f t="shared" si="2"/>
        <v>100</v>
      </c>
      <c r="X9" s="1571"/>
      <c r="Y9" s="3601"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55"/>
      <c r="Q10" s="1151" t="str">
        <f t="shared" si="6"/>
        <v>土地使用年限（年）</v>
      </c>
      <c r="R10" s="1569" t="s">
        <v>8</v>
      </c>
      <c r="S10" s="1570">
        <f t="shared" si="0"/>
        <v>100</v>
      </c>
      <c r="T10" s="1569" t="s">
        <v>8</v>
      </c>
      <c r="U10" s="1570">
        <f t="shared" si="1"/>
        <v>100</v>
      </c>
      <c r="V10" s="1569" t="s">
        <v>8</v>
      </c>
      <c r="W10" s="1570">
        <f t="shared" si="2"/>
        <v>100</v>
      </c>
      <c r="X10" s="1571"/>
      <c r="Y10" s="3601"/>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55"/>
      <c r="Q11" s="1151" t="str">
        <f t="shared" si="6"/>
        <v>容积率</v>
      </c>
      <c r="R11" s="1569" t="s">
        <v>8</v>
      </c>
      <c r="S11" s="1570" t="e">
        <f t="shared" si="0"/>
        <v>#N/A</v>
      </c>
      <c r="T11" s="1569" t="s">
        <v>8</v>
      </c>
      <c r="U11" s="1570" t="e">
        <f t="shared" si="1"/>
        <v>#N/A</v>
      </c>
      <c r="V11" s="1569" t="s">
        <v>8</v>
      </c>
      <c r="W11" s="1570" t="e">
        <f t="shared" si="2"/>
        <v>#N/A</v>
      </c>
      <c r="X11" s="1571"/>
      <c r="Y11" s="360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55"/>
      <c r="Q12" s="1151">
        <f t="shared" si="6"/>
        <v>111</v>
      </c>
      <c r="R12" s="1569" t="s">
        <v>8</v>
      </c>
      <c r="S12" s="1570">
        <f t="shared" si="0"/>
        <v>100</v>
      </c>
      <c r="T12" s="1569" t="s">
        <v>8</v>
      </c>
      <c r="U12" s="1570">
        <f t="shared" si="1"/>
        <v>100</v>
      </c>
      <c r="V12" s="1569" t="s">
        <v>8</v>
      </c>
      <c r="W12" s="1570">
        <f t="shared" si="2"/>
        <v>100</v>
      </c>
      <c r="X12" s="1571"/>
      <c r="Y12" s="3601"/>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55"/>
      <c r="Q13" s="1151">
        <f t="shared" si="6"/>
        <v>111</v>
      </c>
      <c r="R13" s="1569" t="s">
        <v>8</v>
      </c>
      <c r="S13" s="1570">
        <f t="shared" si="0"/>
        <v>100</v>
      </c>
      <c r="T13" s="1569" t="s">
        <v>8</v>
      </c>
      <c r="U13" s="1570">
        <f t="shared" si="1"/>
        <v>100</v>
      </c>
      <c r="V13" s="1569" t="s">
        <v>8</v>
      </c>
      <c r="W13" s="1570">
        <f t="shared" si="2"/>
        <v>100</v>
      </c>
      <c r="X13" s="1571"/>
      <c r="Y13" s="3601"/>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55"/>
      <c r="Q14" s="1151">
        <f t="shared" si="6"/>
        <v>111</v>
      </c>
      <c r="R14" s="1569" t="s">
        <v>8</v>
      </c>
      <c r="S14" s="1570">
        <f t="shared" si="0"/>
        <v>100</v>
      </c>
      <c r="T14" s="1569" t="s">
        <v>8</v>
      </c>
      <c r="U14" s="1570">
        <f t="shared" si="1"/>
        <v>100</v>
      </c>
      <c r="V14" s="1569" t="s">
        <v>8</v>
      </c>
      <c r="W14" s="1570">
        <f t="shared" si="2"/>
        <v>100</v>
      </c>
      <c r="X14" s="1571"/>
      <c r="Y14" s="3601"/>
      <c r="Z14" s="1150">
        <f t="shared" si="7"/>
        <v>111</v>
      </c>
      <c r="AA14" s="1572">
        <f t="shared" si="3"/>
        <v>1</v>
      </c>
      <c r="AB14" s="1572">
        <f t="shared" si="4"/>
        <v>1</v>
      </c>
      <c r="AC14" s="1572">
        <f t="shared" si="5"/>
        <v>1</v>
      </c>
    </row>
    <row r="15" spans="1:29" ht="71.25">
      <c r="A15" s="2937"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689" t="s">
        <v>541</v>
      </c>
      <c r="Q15" s="1573" t="str">
        <f t="shared" si="6"/>
        <v>办公集聚程度</v>
      </c>
      <c r="R15" s="1574" t="s">
        <v>8</v>
      </c>
      <c r="S15" s="1575">
        <f t="shared" si="0"/>
        <v>100</v>
      </c>
      <c r="T15" s="1574" t="s">
        <v>8</v>
      </c>
      <c r="U15" s="1575">
        <f t="shared" si="1"/>
        <v>100</v>
      </c>
      <c r="V15" s="1574" t="s">
        <v>8</v>
      </c>
      <c r="W15" s="1575">
        <f t="shared" si="2"/>
        <v>100</v>
      </c>
      <c r="X15" s="1568"/>
      <c r="Y15" s="3689"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690"/>
      <c r="Q16" s="1573"/>
      <c r="R16" s="1574"/>
      <c r="S16" s="1575"/>
      <c r="T16" s="1574"/>
      <c r="U16" s="1575"/>
      <c r="V16" s="1574"/>
      <c r="W16" s="1575"/>
      <c r="X16" s="1568"/>
      <c r="Y16" s="369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690"/>
      <c r="Q17" s="1573" t="str">
        <f>B17</f>
        <v>交通便捷度</v>
      </c>
      <c r="R17" s="1574" t="s">
        <v>8</v>
      </c>
      <c r="S17" s="1575">
        <f>F17</f>
        <v>100</v>
      </c>
      <c r="T17" s="1574" t="s">
        <v>8</v>
      </c>
      <c r="U17" s="1575">
        <f>H17</f>
        <v>100</v>
      </c>
      <c r="V17" s="1574" t="s">
        <v>8</v>
      </c>
      <c r="W17" s="1575">
        <f>J17</f>
        <v>100</v>
      </c>
      <c r="X17" s="1568"/>
      <c r="Y17" s="369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690"/>
      <c r="Q18" s="1573"/>
      <c r="R18" s="1574"/>
      <c r="S18" s="1575"/>
      <c r="T18" s="1574"/>
      <c r="U18" s="1575"/>
      <c r="V18" s="1574"/>
      <c r="W18" s="1575"/>
      <c r="X18" s="1568"/>
      <c r="Y18" s="3690"/>
      <c r="Z18" s="1576"/>
      <c r="AA18" s="1577">
        <v>1</v>
      </c>
      <c r="AB18" s="1577">
        <v>1</v>
      </c>
      <c r="AC18" s="1577">
        <v>1</v>
      </c>
    </row>
    <row r="19" spans="1:29" ht="42.75">
      <c r="A19" s="532"/>
      <c r="B19" s="2629"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690"/>
      <c r="Q19" s="1573" t="str">
        <f>B19</f>
        <v>公共配套设施</v>
      </c>
      <c r="R19" s="1574" t="s">
        <v>8</v>
      </c>
      <c r="S19" s="1575">
        <f>F19</f>
        <v>100</v>
      </c>
      <c r="T19" s="1574" t="s">
        <v>8</v>
      </c>
      <c r="U19" s="1575">
        <f>H19</f>
        <v>100</v>
      </c>
      <c r="V19" s="1574" t="s">
        <v>8</v>
      </c>
      <c r="W19" s="1575">
        <f>J19</f>
        <v>100</v>
      </c>
      <c r="X19" s="1568"/>
      <c r="Y19" s="369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690"/>
      <c r="Q20" s="1573"/>
      <c r="R20" s="1574"/>
      <c r="S20" s="1575"/>
      <c r="T20" s="1574"/>
      <c r="U20" s="1575"/>
      <c r="V20" s="1574"/>
      <c r="W20" s="1575"/>
      <c r="X20" s="1568"/>
      <c r="Y20" s="3690"/>
      <c r="Z20" s="1576"/>
      <c r="AA20" s="1577">
        <v>1</v>
      </c>
      <c r="AB20" s="1577">
        <v>1</v>
      </c>
      <c r="AC20" s="1577">
        <v>1</v>
      </c>
    </row>
    <row r="21" spans="1:29" ht="28.5">
      <c r="A21" s="532"/>
      <c r="B21" s="2617"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690"/>
      <c r="Q21" s="2605" t="str">
        <f>B21</f>
        <v>基础设施水平</v>
      </c>
      <c r="R21" s="1574" t="s">
        <v>8</v>
      </c>
      <c r="S21" s="1575">
        <f>F21</f>
        <v>100</v>
      </c>
      <c r="T21" s="1574" t="s">
        <v>8</v>
      </c>
      <c r="U21" s="1575">
        <f>H21</f>
        <v>100</v>
      </c>
      <c r="V21" s="1574" t="s">
        <v>8</v>
      </c>
      <c r="W21" s="1575">
        <f>J21</f>
        <v>100</v>
      </c>
      <c r="X21" s="2607"/>
      <c r="Y21" s="3690"/>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690"/>
      <c r="Q22" s="2605"/>
      <c r="R22" s="1574"/>
      <c r="S22" s="1575"/>
      <c r="T22" s="1574"/>
      <c r="U22" s="1575"/>
      <c r="V22" s="1574"/>
      <c r="W22" s="1575"/>
      <c r="X22" s="2607"/>
      <c r="Y22" s="3690"/>
      <c r="Z22" s="2606"/>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690"/>
      <c r="Q23" s="1573" t="str">
        <f>B23</f>
        <v>环境质量</v>
      </c>
      <c r="R23" s="1574" t="s">
        <v>8</v>
      </c>
      <c r="S23" s="1575">
        <f>F23</f>
        <v>100</v>
      </c>
      <c r="T23" s="1574" t="s">
        <v>8</v>
      </c>
      <c r="U23" s="1575">
        <f>H23</f>
        <v>100</v>
      </c>
      <c r="V23" s="1574" t="s">
        <v>8</v>
      </c>
      <c r="W23" s="1575">
        <f>J23</f>
        <v>100</v>
      </c>
      <c r="X23" s="1568"/>
      <c r="Y23" s="369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690"/>
      <c r="Q24" s="1573"/>
      <c r="R24" s="1574"/>
      <c r="S24" s="1575"/>
      <c r="T24" s="1574"/>
      <c r="U24" s="1575"/>
      <c r="V24" s="1574"/>
      <c r="W24" s="1575"/>
      <c r="X24" s="1568"/>
      <c r="Y24" s="3690"/>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690"/>
      <c r="Q25" s="1573" t="str">
        <f>B25</f>
        <v>毗邻道路的类型与等级</v>
      </c>
      <c r="R25" s="1574" t="s">
        <v>8</v>
      </c>
      <c r="S25" s="1575">
        <f>F25</f>
        <v>100</v>
      </c>
      <c r="T25" s="1574" t="s">
        <v>8</v>
      </c>
      <c r="U25" s="1575">
        <f>H25</f>
        <v>100</v>
      </c>
      <c r="V25" s="1574" t="s">
        <v>8</v>
      </c>
      <c r="W25" s="1575">
        <f>J25</f>
        <v>100</v>
      </c>
      <c r="X25" s="1568"/>
      <c r="Y25" s="369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690"/>
      <c r="Q26" s="1573"/>
      <c r="R26" s="1574"/>
      <c r="S26" s="1575"/>
      <c r="T26" s="1574"/>
      <c r="U26" s="1575"/>
      <c r="V26" s="1574"/>
      <c r="W26" s="1575"/>
      <c r="X26" s="1568"/>
      <c r="Y26" s="3690"/>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690"/>
      <c r="Q27" s="1573" t="str">
        <f t="shared" ref="Q27:Q47" si="11">B27</f>
        <v>楼层</v>
      </c>
      <c r="R27" s="1574" t="s">
        <v>8</v>
      </c>
      <c r="S27" s="1575">
        <f>F27</f>
        <v>100</v>
      </c>
      <c r="T27" s="1574" t="s">
        <v>8</v>
      </c>
      <c r="U27" s="1575">
        <f>H27</f>
        <v>100</v>
      </c>
      <c r="V27" s="1574" t="s">
        <v>8</v>
      </c>
      <c r="W27" s="1575">
        <f>J27</f>
        <v>100</v>
      </c>
      <c r="X27" s="1568"/>
      <c r="Y27" s="3690"/>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690"/>
      <c r="Q28" s="1151" t="str">
        <f t="shared" si="11"/>
        <v>朝向</v>
      </c>
      <c r="R28" s="1569" t="s">
        <v>8</v>
      </c>
      <c r="S28" s="1570">
        <f>F28</f>
        <v>100</v>
      </c>
      <c r="T28" s="1569" t="s">
        <v>8</v>
      </c>
      <c r="U28" s="1570">
        <f>H28</f>
        <v>100</v>
      </c>
      <c r="V28" s="1569" t="s">
        <v>8</v>
      </c>
      <c r="W28" s="1570">
        <f>J28</f>
        <v>100</v>
      </c>
      <c r="X28" s="1571"/>
      <c r="Y28" s="369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690"/>
      <c r="Q29" s="1573">
        <f t="shared" si="11"/>
        <v>111</v>
      </c>
      <c r="R29" s="1574" t="s">
        <v>8</v>
      </c>
      <c r="S29" s="1575">
        <f t="shared" ref="S29:S47" si="12">F29</f>
        <v>100</v>
      </c>
      <c r="T29" s="1574" t="s">
        <v>8</v>
      </c>
      <c r="U29" s="1575">
        <f t="shared" ref="U29:U47" si="13">H29</f>
        <v>100</v>
      </c>
      <c r="V29" s="1574" t="s">
        <v>8</v>
      </c>
      <c r="W29" s="1575">
        <f t="shared" ref="W29:W47" si="14">J29</f>
        <v>100</v>
      </c>
      <c r="X29" s="1568"/>
      <c r="Y29" s="369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690"/>
      <c r="Q30" s="1573">
        <f t="shared" si="11"/>
        <v>111</v>
      </c>
      <c r="R30" s="1574" t="s">
        <v>8</v>
      </c>
      <c r="S30" s="1575">
        <f t="shared" si="12"/>
        <v>100</v>
      </c>
      <c r="T30" s="1574" t="s">
        <v>8</v>
      </c>
      <c r="U30" s="1575">
        <f t="shared" si="13"/>
        <v>100</v>
      </c>
      <c r="V30" s="1574" t="s">
        <v>8</v>
      </c>
      <c r="W30" s="1575">
        <f t="shared" si="14"/>
        <v>100</v>
      </c>
      <c r="X30" s="1568"/>
      <c r="Y30" s="369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690"/>
      <c r="Q31" s="1573">
        <f t="shared" si="11"/>
        <v>111</v>
      </c>
      <c r="R31" s="1574" t="s">
        <v>8</v>
      </c>
      <c r="S31" s="1575">
        <f t="shared" si="12"/>
        <v>100</v>
      </c>
      <c r="T31" s="1574" t="s">
        <v>8</v>
      </c>
      <c r="U31" s="1575">
        <f t="shared" si="13"/>
        <v>100</v>
      </c>
      <c r="V31" s="1574" t="s">
        <v>8</v>
      </c>
      <c r="W31" s="1575">
        <f t="shared" si="14"/>
        <v>100</v>
      </c>
      <c r="X31" s="1568"/>
      <c r="Y31" s="369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690"/>
      <c r="Q32" s="1573">
        <f t="shared" si="11"/>
        <v>111</v>
      </c>
      <c r="R32" s="1574" t="s">
        <v>8</v>
      </c>
      <c r="S32" s="1575">
        <f t="shared" si="12"/>
        <v>100</v>
      </c>
      <c r="T32" s="1574" t="s">
        <v>8</v>
      </c>
      <c r="U32" s="1575">
        <f t="shared" si="13"/>
        <v>100</v>
      </c>
      <c r="V32" s="1574" t="s">
        <v>8</v>
      </c>
      <c r="W32" s="1575">
        <f t="shared" si="14"/>
        <v>100</v>
      </c>
      <c r="X32" s="1568"/>
      <c r="Y32" s="3690"/>
      <c r="Z32" s="1576">
        <f t="shared" si="15"/>
        <v>111</v>
      </c>
      <c r="AA32" s="1577">
        <f t="shared" si="3"/>
        <v>1</v>
      </c>
      <c r="AB32" s="1577">
        <f t="shared" si="4"/>
        <v>1</v>
      </c>
      <c r="AC32" s="1577">
        <f t="shared" si="5"/>
        <v>1</v>
      </c>
    </row>
    <row r="33" spans="1:29" ht="15">
      <c r="A33" s="2934"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691" t="s">
        <v>551</v>
      </c>
      <c r="Q33" s="1573" t="str">
        <f t="shared" si="11"/>
        <v>建筑类型</v>
      </c>
      <c r="R33" s="1574" t="s">
        <v>8</v>
      </c>
      <c r="S33" s="1575">
        <f t="shared" si="12"/>
        <v>100</v>
      </c>
      <c r="T33" s="1574" t="s">
        <v>8</v>
      </c>
      <c r="U33" s="1575">
        <f t="shared" si="13"/>
        <v>100</v>
      </c>
      <c r="V33" s="1574" t="s">
        <v>8</v>
      </c>
      <c r="W33" s="1575">
        <f t="shared" si="14"/>
        <v>100</v>
      </c>
      <c r="X33" s="1568"/>
      <c r="Y33" s="3692"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692"/>
      <c r="Q34" s="1606" t="str">
        <f t="shared" si="11"/>
        <v>项目建筑规模</v>
      </c>
      <c r="R34" s="1578" t="s">
        <v>8</v>
      </c>
      <c r="S34" s="1579" t="e">
        <f t="shared" si="12"/>
        <v>#N/A</v>
      </c>
      <c r="T34" s="1578" t="s">
        <v>8</v>
      </c>
      <c r="U34" s="1579" t="e">
        <f t="shared" si="13"/>
        <v>#N/A</v>
      </c>
      <c r="V34" s="1578" t="s">
        <v>8</v>
      </c>
      <c r="W34" s="1579" t="e">
        <f t="shared" si="14"/>
        <v>#N/A</v>
      </c>
      <c r="X34" s="1580"/>
      <c r="Y34" s="3692"/>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692"/>
      <c r="Q35" s="1573" t="str">
        <f t="shared" si="11"/>
        <v>建筑结构</v>
      </c>
      <c r="R35" s="1574" t="s">
        <v>8</v>
      </c>
      <c r="S35" s="1575">
        <f t="shared" si="12"/>
        <v>100</v>
      </c>
      <c r="T35" s="1574" t="s">
        <v>8</v>
      </c>
      <c r="U35" s="1575">
        <f t="shared" si="13"/>
        <v>100</v>
      </c>
      <c r="V35" s="1574" t="s">
        <v>8</v>
      </c>
      <c r="W35" s="1575">
        <f t="shared" si="14"/>
        <v>100</v>
      </c>
      <c r="X35" s="1568"/>
      <c r="Y35" s="3692"/>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692"/>
      <c r="Q36" s="1573" t="str">
        <f t="shared" si="11"/>
        <v>公共部分装修</v>
      </c>
      <c r="R36" s="1574" t="s">
        <v>8</v>
      </c>
      <c r="S36" s="1575">
        <f t="shared" si="12"/>
        <v>100</v>
      </c>
      <c r="T36" s="1574" t="s">
        <v>8</v>
      </c>
      <c r="U36" s="1575">
        <f t="shared" si="13"/>
        <v>100</v>
      </c>
      <c r="V36" s="1574" t="s">
        <v>8</v>
      </c>
      <c r="W36" s="1575">
        <f t="shared" si="14"/>
        <v>100</v>
      </c>
      <c r="X36" s="1568"/>
      <c r="Y36" s="3692"/>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692"/>
      <c r="Q37" s="1573" t="str">
        <f t="shared" si="11"/>
        <v>成新度</v>
      </c>
      <c r="R37" s="1574" t="s">
        <v>8</v>
      </c>
      <c r="S37" s="1575" t="e">
        <f t="shared" si="12"/>
        <v>#N/A</v>
      </c>
      <c r="T37" s="1574" t="s">
        <v>8</v>
      </c>
      <c r="U37" s="1575" t="e">
        <f t="shared" si="13"/>
        <v>#N/A</v>
      </c>
      <c r="V37" s="1574" t="s">
        <v>8</v>
      </c>
      <c r="W37" s="1575" t="e">
        <f t="shared" si="14"/>
        <v>#N/A</v>
      </c>
      <c r="X37" s="1568"/>
      <c r="Y37" s="3692"/>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692"/>
      <c r="Q38" s="1151" t="str">
        <f t="shared" si="11"/>
        <v>写字楼等级</v>
      </c>
      <c r="R38" s="1569" t="s">
        <v>8</v>
      </c>
      <c r="S38" s="1570">
        <f t="shared" si="12"/>
        <v>100</v>
      </c>
      <c r="T38" s="1569" t="s">
        <v>8</v>
      </c>
      <c r="U38" s="1570">
        <f t="shared" si="13"/>
        <v>100</v>
      </c>
      <c r="V38" s="1569" t="s">
        <v>8</v>
      </c>
      <c r="W38" s="1570">
        <f t="shared" si="14"/>
        <v>100</v>
      </c>
      <c r="X38" s="1571"/>
      <c r="Y38" s="3692"/>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692" t="s">
        <v>551</v>
      </c>
      <c r="Q39" s="1573" t="str">
        <f t="shared" si="11"/>
        <v>物业管理</v>
      </c>
      <c r="R39" s="1574" t="s">
        <v>8</v>
      </c>
      <c r="S39" s="1575">
        <f t="shared" si="12"/>
        <v>100</v>
      </c>
      <c r="T39" s="1574" t="s">
        <v>8</v>
      </c>
      <c r="U39" s="1575">
        <f t="shared" si="13"/>
        <v>100</v>
      </c>
      <c r="V39" s="1574" t="s">
        <v>8</v>
      </c>
      <c r="W39" s="1575">
        <f t="shared" si="14"/>
        <v>100</v>
      </c>
      <c r="X39" s="1568"/>
      <c r="Y39" s="3692" t="s">
        <v>551</v>
      </c>
      <c r="Z39" s="1576" t="str">
        <f t="shared" si="15"/>
        <v>物业管理</v>
      </c>
      <c r="AA39" s="1577">
        <f t="shared" si="3"/>
        <v>1</v>
      </c>
      <c r="AB39" s="1577">
        <f t="shared" si="4"/>
        <v>1</v>
      </c>
      <c r="AC39" s="1577">
        <f t="shared" si="5"/>
        <v>1</v>
      </c>
    </row>
    <row r="40" spans="1:29" ht="15">
      <c r="A40" s="594"/>
      <c r="B40" s="1897"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692"/>
      <c r="Q40" s="1573" t="str">
        <f t="shared" si="11"/>
        <v>市政基础设施</v>
      </c>
      <c r="R40" s="1574" t="s">
        <v>8</v>
      </c>
      <c r="S40" s="1575">
        <f t="shared" si="12"/>
        <v>100</v>
      </c>
      <c r="T40" s="1574" t="s">
        <v>8</v>
      </c>
      <c r="U40" s="1575">
        <f t="shared" si="13"/>
        <v>100</v>
      </c>
      <c r="V40" s="1574" t="s">
        <v>8</v>
      </c>
      <c r="W40" s="1575">
        <f t="shared" si="14"/>
        <v>100</v>
      </c>
      <c r="X40" s="1568"/>
      <c r="Y40" s="3692"/>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692"/>
      <c r="Q41" s="1573" t="str">
        <f t="shared" si="11"/>
        <v>层高</v>
      </c>
      <c r="R41" s="1574" t="s">
        <v>8</v>
      </c>
      <c r="S41" s="1575">
        <f t="shared" si="12"/>
        <v>100</v>
      </c>
      <c r="T41" s="1574" t="s">
        <v>8</v>
      </c>
      <c r="U41" s="1575">
        <f t="shared" si="13"/>
        <v>100</v>
      </c>
      <c r="V41" s="1574" t="s">
        <v>8</v>
      </c>
      <c r="W41" s="1575">
        <f t="shared" si="14"/>
        <v>100</v>
      </c>
      <c r="X41" s="1568"/>
      <c r="Y41" s="3692"/>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692"/>
      <c r="Q42" s="1606" t="str">
        <f t="shared" si="11"/>
        <v>单套建筑面积</v>
      </c>
      <c r="R42" s="1578" t="s">
        <v>8</v>
      </c>
      <c r="S42" s="1579">
        <f t="shared" si="12"/>
        <v>100</v>
      </c>
      <c r="T42" s="1578" t="s">
        <v>8</v>
      </c>
      <c r="U42" s="1579">
        <f t="shared" si="13"/>
        <v>100</v>
      </c>
      <c r="V42" s="1578" t="s">
        <v>8</v>
      </c>
      <c r="W42" s="1579">
        <f t="shared" si="14"/>
        <v>100</v>
      </c>
      <c r="X42" s="1580"/>
      <c r="Y42" s="3692"/>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692"/>
      <c r="Q43" s="1573" t="str">
        <f t="shared" si="11"/>
        <v>内部装修</v>
      </c>
      <c r="R43" s="1574" t="s">
        <v>8</v>
      </c>
      <c r="S43" s="1575">
        <f t="shared" si="12"/>
        <v>100</v>
      </c>
      <c r="T43" s="1574" t="s">
        <v>8</v>
      </c>
      <c r="U43" s="1575">
        <f t="shared" si="13"/>
        <v>100</v>
      </c>
      <c r="V43" s="1574" t="s">
        <v>8</v>
      </c>
      <c r="W43" s="1575">
        <f t="shared" si="14"/>
        <v>100</v>
      </c>
      <c r="X43" s="1568"/>
      <c r="Y43" s="3692"/>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692"/>
      <c r="Q44" s="1573" t="str">
        <f t="shared" si="11"/>
        <v>内部装修维护情况</v>
      </c>
      <c r="R44" s="1574" t="s">
        <v>8</v>
      </c>
      <c r="S44" s="1575">
        <f t="shared" si="12"/>
        <v>100</v>
      </c>
      <c r="T44" s="1574" t="s">
        <v>8</v>
      </c>
      <c r="U44" s="1575">
        <f t="shared" si="13"/>
        <v>100</v>
      </c>
      <c r="V44" s="1574" t="s">
        <v>8</v>
      </c>
      <c r="W44" s="1575">
        <f t="shared" si="14"/>
        <v>100</v>
      </c>
      <c r="X44" s="1568"/>
      <c r="Y44" s="369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692"/>
      <c r="Q45" s="1151">
        <f t="shared" si="11"/>
        <v>111</v>
      </c>
      <c r="R45" s="1569" t="s">
        <v>8</v>
      </c>
      <c r="S45" s="1570">
        <f t="shared" si="12"/>
        <v>100</v>
      </c>
      <c r="T45" s="1569" t="s">
        <v>8</v>
      </c>
      <c r="U45" s="1570">
        <f t="shared" si="13"/>
        <v>100</v>
      </c>
      <c r="V45" s="1569" t="s">
        <v>8</v>
      </c>
      <c r="W45" s="1570">
        <f t="shared" si="14"/>
        <v>100</v>
      </c>
      <c r="X45" s="1571"/>
      <c r="Y45" s="369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692"/>
      <c r="Q46" s="1573">
        <f t="shared" si="11"/>
        <v>111</v>
      </c>
      <c r="R46" s="1574" t="s">
        <v>8</v>
      </c>
      <c r="S46" s="1575">
        <f t="shared" si="12"/>
        <v>100</v>
      </c>
      <c r="T46" s="1574" t="s">
        <v>8</v>
      </c>
      <c r="U46" s="1575">
        <f t="shared" si="13"/>
        <v>100</v>
      </c>
      <c r="V46" s="1574" t="s">
        <v>8</v>
      </c>
      <c r="W46" s="1575">
        <f t="shared" si="14"/>
        <v>100</v>
      </c>
      <c r="X46" s="1568"/>
      <c r="Y46" s="369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69"/>
      <c r="Q47" s="1573">
        <f t="shared" si="11"/>
        <v>111</v>
      </c>
      <c r="R47" s="1574" t="s">
        <v>8</v>
      </c>
      <c r="S47" s="1575">
        <f t="shared" si="12"/>
        <v>100</v>
      </c>
      <c r="T47" s="1574" t="s">
        <v>8</v>
      </c>
      <c r="U47" s="1575">
        <f t="shared" si="13"/>
        <v>100</v>
      </c>
      <c r="V47" s="1574" t="s">
        <v>8</v>
      </c>
      <c r="W47" s="1575">
        <f t="shared" si="14"/>
        <v>100</v>
      </c>
      <c r="X47" s="1568"/>
      <c r="Y47" s="3769"/>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653" t="str">
        <f>A48</f>
        <v>成交单价（元/平方米）</v>
      </c>
      <c r="Q48" s="3655"/>
      <c r="R48" s="3768">
        <f>E48</f>
        <v>0</v>
      </c>
      <c r="S48" s="3768"/>
      <c r="T48" s="3768">
        <f>G48</f>
        <v>0</v>
      </c>
      <c r="U48" s="3768"/>
      <c r="V48" s="3768">
        <f>I48</f>
        <v>0</v>
      </c>
      <c r="W48" s="3768"/>
      <c r="X48" s="1560"/>
      <c r="Y48" s="1582"/>
      <c r="Z48" s="1560"/>
      <c r="AA48" s="1560"/>
      <c r="AB48" s="1560"/>
      <c r="AC48" s="1560"/>
    </row>
    <row r="49" spans="1:29" ht="15.75" thickBot="1">
      <c r="A49" s="615" t="s">
        <v>2767</v>
      </c>
      <c r="B49" s="888"/>
      <c r="C49" s="2659" t="e">
        <f>R50</f>
        <v>#DIV/0!</v>
      </c>
      <c r="D49" s="2660"/>
      <c r="E49" s="2661" t="e">
        <f>R49</f>
        <v>#DIV/0!</v>
      </c>
      <c r="F49" s="2661"/>
      <c r="G49" s="2659" t="e">
        <f>T49</f>
        <v>#DIV/0!</v>
      </c>
      <c r="H49" s="2660"/>
      <c r="I49" s="2661" t="e">
        <f>V49</f>
        <v>#DIV/0!</v>
      </c>
      <c r="J49" s="2660"/>
      <c r="K49" s="1613"/>
      <c r="L49" s="2146"/>
      <c r="M49" s="2136"/>
      <c r="N49" s="2136"/>
      <c r="O49" s="2136"/>
      <c r="P49" s="3653" t="str">
        <f>A49</f>
        <v>比较价格（元/平方米）</v>
      </c>
      <c r="Q49" s="3655"/>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1560"/>
      <c r="Y49" s="1560"/>
      <c r="Z49" s="1560"/>
      <c r="AA49" s="1560"/>
      <c r="AB49" s="1560"/>
      <c r="AC49" s="1560"/>
    </row>
    <row r="50" spans="1:29" ht="15.75" thickBot="1">
      <c r="A50" s="621" t="s">
        <v>2944</v>
      </c>
      <c r="B50" s="622"/>
      <c r="C50" s="2662" t="e">
        <f>R50</f>
        <v>#DIV/0!</v>
      </c>
      <c r="D50" s="2662"/>
      <c r="E50" s="2662"/>
      <c r="F50" s="2662"/>
      <c r="G50" s="2662"/>
      <c r="H50" s="2662"/>
      <c r="I50" s="2662"/>
      <c r="J50" s="2662"/>
      <c r="K50" s="1614"/>
      <c r="L50" s="2146"/>
      <c r="M50" s="2136"/>
      <c r="N50" s="2136"/>
      <c r="O50" s="2136"/>
      <c r="P50" s="3770" t="str">
        <f>A50</f>
        <v>估价对象XX用房的比较价格（楼面单价，元/平方米）</v>
      </c>
      <c r="Q50" s="3653"/>
      <c r="R50" s="3767" t="e">
        <f>IF(F1="售价",ROUND(AVERAGE(R49:V49),0),ROUND(AVERAGE(R49:V49),1))</f>
        <v>#DIV/0!</v>
      </c>
      <c r="S50" s="3767"/>
      <c r="T50" s="3767"/>
      <c r="U50" s="3767"/>
      <c r="V50" s="3767"/>
      <c r="W50" s="376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2565</v>
      </c>
      <c r="C83" s="2624" t="s">
        <v>2566</v>
      </c>
      <c r="D83" s="2624" t="s">
        <v>2567</v>
      </c>
      <c r="E83" s="2624" t="s">
        <v>2568</v>
      </c>
      <c r="F83" s="2624" t="s">
        <v>2569</v>
      </c>
      <c r="G83" s="2624" t="s">
        <v>2570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661" t="s">
        <v>523</v>
      </c>
      <c r="D4" s="3662"/>
      <c r="E4" s="3695" t="s">
        <v>524</v>
      </c>
      <c r="F4" s="3696"/>
      <c r="G4" s="3661" t="s">
        <v>525</v>
      </c>
      <c r="H4" s="3662"/>
      <c r="I4" s="3661" t="s">
        <v>526</v>
      </c>
      <c r="J4" s="3662"/>
      <c r="K4" s="514" t="s">
        <v>527</v>
      </c>
      <c r="L4" s="2135"/>
      <c r="M4" s="2136"/>
      <c r="N4" s="2136"/>
      <c r="O4" s="2136"/>
      <c r="P4" s="3663" t="s">
        <v>528</v>
      </c>
      <c r="Q4" s="3664"/>
      <c r="R4" s="3669" t="s">
        <v>524</v>
      </c>
      <c r="S4" s="3670"/>
      <c r="T4" s="3669" t="s">
        <v>525</v>
      </c>
      <c r="U4" s="3670"/>
      <c r="V4" s="3656" t="s">
        <v>526</v>
      </c>
      <c r="W4" s="3656"/>
      <c r="X4" s="1568"/>
      <c r="Y4" s="3669" t="s">
        <v>528</v>
      </c>
      <c r="Z4" s="3670"/>
      <c r="AA4" s="3658" t="s">
        <v>524</v>
      </c>
      <c r="AB4" s="3659" t="s">
        <v>525</v>
      </c>
      <c r="AC4" s="3658" t="s">
        <v>526</v>
      </c>
    </row>
    <row r="5" spans="1:29" ht="15">
      <c r="A5" s="515"/>
      <c r="B5" s="516"/>
      <c r="C5" s="3677" t="s">
        <v>2938</v>
      </c>
      <c r="D5" s="3678"/>
      <c r="E5" s="3697" t="s">
        <v>2939</v>
      </c>
      <c r="F5" s="3698"/>
      <c r="G5" s="3677" t="s">
        <v>2940</v>
      </c>
      <c r="H5" s="3678"/>
      <c r="I5" s="3677" t="s">
        <v>2941</v>
      </c>
      <c r="J5" s="3678"/>
      <c r="K5" s="514"/>
      <c r="L5" s="2135"/>
      <c r="M5" s="2136"/>
      <c r="N5" s="2136"/>
      <c r="O5" s="2136"/>
      <c r="P5" s="3665"/>
      <c r="Q5" s="3666"/>
      <c r="R5" s="3671"/>
      <c r="S5" s="3672"/>
      <c r="T5" s="3671"/>
      <c r="U5" s="3672"/>
      <c r="V5" s="3656"/>
      <c r="W5" s="3656"/>
      <c r="X5" s="1568"/>
      <c r="Y5" s="3671"/>
      <c r="Z5" s="3672"/>
      <c r="AA5" s="3659"/>
      <c r="AB5" s="3659"/>
      <c r="AC5" s="3659"/>
    </row>
    <row r="6" spans="1:29" ht="15.75" thickBot="1">
      <c r="A6" s="517"/>
      <c r="B6" s="518"/>
      <c r="C6" s="3675" t="s">
        <v>2942</v>
      </c>
      <c r="D6" s="3676"/>
      <c r="E6" s="3693" t="s">
        <v>2942</v>
      </c>
      <c r="F6" s="3694"/>
      <c r="G6" s="3675" t="s">
        <v>2942</v>
      </c>
      <c r="H6" s="3676"/>
      <c r="I6" s="3675" t="s">
        <v>2942</v>
      </c>
      <c r="J6" s="3676"/>
      <c r="K6" s="514" t="s">
        <v>529</v>
      </c>
      <c r="L6" s="2135"/>
      <c r="M6" s="2136"/>
      <c r="N6" s="2136"/>
      <c r="O6" s="2136"/>
      <c r="P6" s="3667"/>
      <c r="Q6" s="3668"/>
      <c r="R6" s="3671"/>
      <c r="S6" s="3672"/>
      <c r="T6" s="3673"/>
      <c r="U6" s="3674"/>
      <c r="V6" s="3656"/>
      <c r="W6" s="3656"/>
      <c r="X6" s="1568"/>
      <c r="Y6" s="3673"/>
      <c r="Z6" s="3674"/>
      <c r="AA6" s="3660"/>
      <c r="AB6" s="3660"/>
      <c r="AC6" s="3660"/>
    </row>
    <row r="7" spans="1:29" s="1220" customFormat="1" ht="15.75" thickBot="1">
      <c r="A7" s="2939"/>
      <c r="B7" s="2946" t="s">
        <v>530</v>
      </c>
      <c r="C7" s="519">
        <f>'数据-取费表'!B2</f>
        <v>43174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86" t="s">
        <v>531</v>
      </c>
      <c r="Q7" s="3688"/>
      <c r="R7" s="1569" t="s">
        <v>8</v>
      </c>
      <c r="S7" s="1570">
        <f t="shared" ref="S7:S15" si="0">F7</f>
        <v>0</v>
      </c>
      <c r="T7" s="1569" t="s">
        <v>8</v>
      </c>
      <c r="U7" s="1570">
        <f t="shared" ref="U7:U15" si="1">H7</f>
        <v>0</v>
      </c>
      <c r="V7" s="1569" t="s">
        <v>8</v>
      </c>
      <c r="W7" s="1570">
        <f t="shared" ref="W7:W15" si="2">J7</f>
        <v>0</v>
      </c>
      <c r="X7" s="1571"/>
      <c r="Y7" s="3686" t="s">
        <v>531</v>
      </c>
      <c r="Z7" s="3687"/>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86" t="s">
        <v>534</v>
      </c>
      <c r="Q8" s="3687"/>
      <c r="R8" s="1569" t="s">
        <v>8</v>
      </c>
      <c r="S8" s="1570">
        <f t="shared" si="0"/>
        <v>0</v>
      </c>
      <c r="T8" s="1569" t="s">
        <v>8</v>
      </c>
      <c r="U8" s="1570">
        <f t="shared" si="1"/>
        <v>0</v>
      </c>
      <c r="V8" s="1569" t="s">
        <v>8</v>
      </c>
      <c r="W8" s="1570">
        <f t="shared" si="2"/>
        <v>0</v>
      </c>
      <c r="X8" s="1571"/>
      <c r="Y8" s="3686" t="s">
        <v>534</v>
      </c>
      <c r="Z8" s="3687"/>
      <c r="AA8" s="1572" t="e">
        <f t="shared" ref="AA8:AA40" si="3">D8/F8</f>
        <v>#DIV/0!</v>
      </c>
      <c r="AB8" s="1572" t="e">
        <f t="shared" ref="AB8:AB40" si="4">D8/H8</f>
        <v>#DIV/0!</v>
      </c>
      <c r="AC8" s="1572" t="e">
        <f t="shared" ref="AC8:AC40" si="5">D8/J8</f>
        <v>#DIV/0!</v>
      </c>
    </row>
    <row r="9" spans="1:29" s="1220" customFormat="1" ht="15">
      <c r="A9" s="2941"/>
      <c r="B9" s="2948" t="s">
        <v>2763</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55" t="s">
        <v>536</v>
      </c>
      <c r="Q9" s="1151" t="str">
        <f t="shared" ref="Q9:Q15" si="6">B9</f>
        <v>用途</v>
      </c>
      <c r="R9" s="1569" t="s">
        <v>8</v>
      </c>
      <c r="S9" s="1570">
        <f t="shared" si="0"/>
        <v>100</v>
      </c>
      <c r="T9" s="1569" t="s">
        <v>8</v>
      </c>
      <c r="U9" s="1570">
        <f t="shared" si="1"/>
        <v>100</v>
      </c>
      <c r="V9" s="1569" t="s">
        <v>8</v>
      </c>
      <c r="W9" s="1570">
        <f t="shared" si="2"/>
        <v>100</v>
      </c>
      <c r="X9" s="1571"/>
      <c r="Y9" s="3601"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55"/>
      <c r="Q10" s="1151" t="str">
        <f t="shared" si="6"/>
        <v>土地使用年限（年）</v>
      </c>
      <c r="R10" s="1569" t="s">
        <v>8</v>
      </c>
      <c r="S10" s="1570">
        <f t="shared" si="0"/>
        <v>100</v>
      </c>
      <c r="T10" s="1569" t="s">
        <v>8</v>
      </c>
      <c r="U10" s="1570">
        <f t="shared" si="1"/>
        <v>100</v>
      </c>
      <c r="V10" s="1569" t="s">
        <v>8</v>
      </c>
      <c r="W10" s="1570">
        <f t="shared" si="2"/>
        <v>100</v>
      </c>
      <c r="X10" s="1571"/>
      <c r="Y10" s="3601"/>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55"/>
      <c r="Q11" s="1151" t="str">
        <f t="shared" si="6"/>
        <v>容积率</v>
      </c>
      <c r="R11" s="1569" t="s">
        <v>8</v>
      </c>
      <c r="S11" s="1570" t="e">
        <f t="shared" si="0"/>
        <v>#N/A</v>
      </c>
      <c r="T11" s="1569" t="s">
        <v>8</v>
      </c>
      <c r="U11" s="1570" t="e">
        <f t="shared" si="1"/>
        <v>#N/A</v>
      </c>
      <c r="V11" s="1569" t="s">
        <v>8</v>
      </c>
      <c r="W11" s="1570" t="e">
        <f t="shared" si="2"/>
        <v>#N/A</v>
      </c>
      <c r="X11" s="1571"/>
      <c r="Y11" s="360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55"/>
      <c r="Q12" s="1151">
        <f t="shared" si="6"/>
        <v>111</v>
      </c>
      <c r="R12" s="1569" t="s">
        <v>8</v>
      </c>
      <c r="S12" s="1570">
        <f t="shared" si="0"/>
        <v>100</v>
      </c>
      <c r="T12" s="1569" t="s">
        <v>8</v>
      </c>
      <c r="U12" s="1570">
        <f t="shared" si="1"/>
        <v>100</v>
      </c>
      <c r="V12" s="1569" t="s">
        <v>8</v>
      </c>
      <c r="W12" s="1570">
        <f t="shared" si="2"/>
        <v>100</v>
      </c>
      <c r="X12" s="1571"/>
      <c r="Y12" s="3601"/>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55"/>
      <c r="Q13" s="1151">
        <f t="shared" si="6"/>
        <v>111</v>
      </c>
      <c r="R13" s="1569" t="s">
        <v>8</v>
      </c>
      <c r="S13" s="1570">
        <f t="shared" si="0"/>
        <v>100</v>
      </c>
      <c r="T13" s="1569" t="s">
        <v>8</v>
      </c>
      <c r="U13" s="1570">
        <f t="shared" si="1"/>
        <v>100</v>
      </c>
      <c r="V13" s="1569" t="s">
        <v>8</v>
      </c>
      <c r="W13" s="1570">
        <f t="shared" si="2"/>
        <v>100</v>
      </c>
      <c r="X13" s="1571"/>
      <c r="Y13" s="3601"/>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55"/>
      <c r="Q14" s="1151">
        <f t="shared" si="6"/>
        <v>111</v>
      </c>
      <c r="R14" s="1569" t="s">
        <v>8</v>
      </c>
      <c r="S14" s="1570">
        <f t="shared" si="0"/>
        <v>100</v>
      </c>
      <c r="T14" s="1569" t="s">
        <v>8</v>
      </c>
      <c r="U14" s="1570">
        <f t="shared" si="1"/>
        <v>100</v>
      </c>
      <c r="V14" s="1569" t="s">
        <v>8</v>
      </c>
      <c r="W14" s="1570">
        <f t="shared" si="2"/>
        <v>100</v>
      </c>
      <c r="X14" s="1571"/>
      <c r="Y14" s="3601"/>
      <c r="Z14" s="1150">
        <f t="shared" si="7"/>
        <v>111</v>
      </c>
      <c r="AA14" s="1572">
        <f t="shared" si="3"/>
        <v>1</v>
      </c>
      <c r="AB14" s="1572">
        <f t="shared" si="4"/>
        <v>1</v>
      </c>
      <c r="AC14" s="1572">
        <f t="shared" si="5"/>
        <v>1</v>
      </c>
    </row>
    <row r="15" spans="1:29" ht="57">
      <c r="A15" s="2937"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689" t="s">
        <v>541</v>
      </c>
      <c r="Q15" s="1573" t="str">
        <f t="shared" si="6"/>
        <v>产业集聚程度</v>
      </c>
      <c r="R15" s="1574" t="s">
        <v>8</v>
      </c>
      <c r="S15" s="1575">
        <f t="shared" si="0"/>
        <v>100</v>
      </c>
      <c r="T15" s="1574" t="s">
        <v>8</v>
      </c>
      <c r="U15" s="1575">
        <f t="shared" si="1"/>
        <v>100</v>
      </c>
      <c r="V15" s="1574" t="s">
        <v>8</v>
      </c>
      <c r="W15" s="1575">
        <f t="shared" si="2"/>
        <v>100</v>
      </c>
      <c r="X15" s="1568"/>
      <c r="Y15" s="3689"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90"/>
      <c r="Q16" s="1573"/>
      <c r="R16" s="1574"/>
      <c r="S16" s="1575"/>
      <c r="T16" s="1574"/>
      <c r="U16" s="1575"/>
      <c r="V16" s="1574"/>
      <c r="W16" s="1575"/>
      <c r="X16" s="1568"/>
      <c r="Y16" s="369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690"/>
      <c r="Q17" s="1573" t="str">
        <f>B17</f>
        <v>交通便捷度</v>
      </c>
      <c r="R17" s="1574" t="s">
        <v>8</v>
      </c>
      <c r="S17" s="1575">
        <f>F17</f>
        <v>100</v>
      </c>
      <c r="T17" s="1574" t="s">
        <v>8</v>
      </c>
      <c r="U17" s="1575">
        <f>H17</f>
        <v>100</v>
      </c>
      <c r="V17" s="1574" t="s">
        <v>8</v>
      </c>
      <c r="W17" s="1575">
        <f>J17</f>
        <v>100</v>
      </c>
      <c r="X17" s="1568"/>
      <c r="Y17" s="369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90"/>
      <c r="Q18" s="1573"/>
      <c r="R18" s="1574"/>
      <c r="S18" s="1575"/>
      <c r="T18" s="1574"/>
      <c r="U18" s="1575"/>
      <c r="V18" s="1574"/>
      <c r="W18" s="1575"/>
      <c r="X18" s="1568"/>
      <c r="Y18" s="3690"/>
      <c r="Z18" s="1576"/>
      <c r="AA18" s="1577">
        <v>1</v>
      </c>
      <c r="AB18" s="1577">
        <v>1</v>
      </c>
      <c r="AC18" s="1577">
        <v>1</v>
      </c>
    </row>
    <row r="19" spans="1:29" ht="42.75">
      <c r="A19" s="532"/>
      <c r="B19" s="2629"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690"/>
      <c r="Q19" s="1573" t="str">
        <f>B19</f>
        <v>公共配套设施</v>
      </c>
      <c r="R19" s="1574" t="s">
        <v>8</v>
      </c>
      <c r="S19" s="1575">
        <f>F19</f>
        <v>100</v>
      </c>
      <c r="T19" s="1574" t="s">
        <v>8</v>
      </c>
      <c r="U19" s="1575">
        <f>H19</f>
        <v>100</v>
      </c>
      <c r="V19" s="1574" t="s">
        <v>8</v>
      </c>
      <c r="W19" s="1575">
        <f>J19</f>
        <v>100</v>
      </c>
      <c r="X19" s="1568"/>
      <c r="Y19" s="369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690"/>
      <c r="Q20" s="1573"/>
      <c r="R20" s="1574"/>
      <c r="S20" s="1575"/>
      <c r="T20" s="1574"/>
      <c r="U20" s="1575"/>
      <c r="V20" s="1574"/>
      <c r="W20" s="1575"/>
      <c r="X20" s="1568"/>
      <c r="Y20" s="3690"/>
      <c r="Z20" s="1576"/>
      <c r="AA20" s="1577">
        <v>1</v>
      </c>
      <c r="AB20" s="1577">
        <v>1</v>
      </c>
      <c r="AC20" s="1577">
        <v>1</v>
      </c>
    </row>
    <row r="21" spans="1:29" ht="28.5">
      <c r="A21" s="532"/>
      <c r="B21" s="2617"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690"/>
      <c r="Q21" s="2605" t="str">
        <f>B21</f>
        <v>基础设施水平</v>
      </c>
      <c r="R21" s="1574" t="s">
        <v>8</v>
      </c>
      <c r="S21" s="1575">
        <f>F21</f>
        <v>100</v>
      </c>
      <c r="T21" s="1574" t="s">
        <v>8</v>
      </c>
      <c r="U21" s="1575">
        <f>H21</f>
        <v>100</v>
      </c>
      <c r="V21" s="1574" t="s">
        <v>8</v>
      </c>
      <c r="W21" s="1575">
        <f>J21</f>
        <v>100</v>
      </c>
      <c r="X21" s="2607"/>
      <c r="Y21" s="3690"/>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690"/>
      <c r="Q22" s="2605"/>
      <c r="R22" s="1574"/>
      <c r="S22" s="1575"/>
      <c r="T22" s="1574"/>
      <c r="U22" s="1575"/>
      <c r="V22" s="1574"/>
      <c r="W22" s="1575"/>
      <c r="X22" s="2607"/>
      <c r="Y22" s="3690"/>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690"/>
      <c r="Q23" s="1573" t="str">
        <f>B23</f>
        <v>环境质量</v>
      </c>
      <c r="R23" s="1574" t="s">
        <v>8</v>
      </c>
      <c r="S23" s="1575">
        <f>F23</f>
        <v>100</v>
      </c>
      <c r="T23" s="1574" t="s">
        <v>8</v>
      </c>
      <c r="U23" s="1575">
        <f>H23</f>
        <v>100</v>
      </c>
      <c r="V23" s="1574" t="s">
        <v>8</v>
      </c>
      <c r="W23" s="1575">
        <f>J23</f>
        <v>100</v>
      </c>
      <c r="X23" s="1568"/>
      <c r="Y23" s="369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690"/>
      <c r="Q24" s="1573"/>
      <c r="R24" s="1574"/>
      <c r="S24" s="1575"/>
      <c r="T24" s="1574"/>
      <c r="U24" s="1575"/>
      <c r="V24" s="1574"/>
      <c r="W24" s="1575"/>
      <c r="X24" s="1568"/>
      <c r="Y24" s="369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690"/>
      <c r="Q25" s="1573">
        <f>B25</f>
        <v>111</v>
      </c>
      <c r="R25" s="1574" t="s">
        <v>8</v>
      </c>
      <c r="S25" s="1575">
        <f>F25</f>
        <v>100</v>
      </c>
      <c r="T25" s="1574" t="s">
        <v>8</v>
      </c>
      <c r="U25" s="1575">
        <f>H25</f>
        <v>100</v>
      </c>
      <c r="V25" s="1574" t="s">
        <v>8</v>
      </c>
      <c r="W25" s="1575">
        <f>J25</f>
        <v>100</v>
      </c>
      <c r="X25" s="1568"/>
      <c r="Y25" s="369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690"/>
      <c r="Q26" s="1573">
        <f t="shared" ref="Q26:Q40" si="11">B26</f>
        <v>111</v>
      </c>
      <c r="R26" s="1574" t="s">
        <v>8</v>
      </c>
      <c r="S26" s="1575">
        <f>F26</f>
        <v>100</v>
      </c>
      <c r="T26" s="1574" t="s">
        <v>8</v>
      </c>
      <c r="U26" s="1575">
        <f>H26</f>
        <v>100</v>
      </c>
      <c r="V26" s="1574" t="s">
        <v>8</v>
      </c>
      <c r="W26" s="1575">
        <f>J26</f>
        <v>100</v>
      </c>
      <c r="X26" s="1568"/>
      <c r="Y26" s="369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690"/>
      <c r="Q27" s="1151">
        <f t="shared" si="11"/>
        <v>111</v>
      </c>
      <c r="R27" s="1569" t="s">
        <v>8</v>
      </c>
      <c r="S27" s="1570">
        <f>F27</f>
        <v>100</v>
      </c>
      <c r="T27" s="1569" t="s">
        <v>8</v>
      </c>
      <c r="U27" s="1570">
        <f>H27</f>
        <v>100</v>
      </c>
      <c r="V27" s="1569" t="s">
        <v>8</v>
      </c>
      <c r="W27" s="1570">
        <f>J27</f>
        <v>100</v>
      </c>
      <c r="X27" s="1571"/>
      <c r="Y27" s="369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690"/>
      <c r="Q28" s="1573">
        <f t="shared" si="11"/>
        <v>111</v>
      </c>
      <c r="R28" s="1574" t="s">
        <v>8</v>
      </c>
      <c r="S28" s="1575">
        <f t="shared" ref="S28:S40" si="12">F28</f>
        <v>100</v>
      </c>
      <c r="T28" s="1574" t="s">
        <v>8</v>
      </c>
      <c r="U28" s="1575">
        <f t="shared" ref="U28:U40" si="13">H28</f>
        <v>100</v>
      </c>
      <c r="V28" s="1574" t="s">
        <v>8</v>
      </c>
      <c r="W28" s="1575">
        <f t="shared" ref="W28:W40" si="14">J28</f>
        <v>100</v>
      </c>
      <c r="X28" s="1568"/>
      <c r="Y28" s="3690"/>
      <c r="Z28" s="1576">
        <f t="shared" ref="Z28:Z40" si="15">Q28</f>
        <v>111</v>
      </c>
      <c r="AA28" s="1577">
        <f t="shared" si="3"/>
        <v>1</v>
      </c>
      <c r="AB28" s="1577">
        <f t="shared" si="4"/>
        <v>1</v>
      </c>
      <c r="AC28" s="1577">
        <f t="shared" si="5"/>
        <v>1</v>
      </c>
    </row>
    <row r="29" spans="1:29" ht="15">
      <c r="A29" s="2934"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691" t="s">
        <v>551</v>
      </c>
      <c r="Q29" s="1573" t="str">
        <f t="shared" si="11"/>
        <v>建筑类型</v>
      </c>
      <c r="R29" s="1574" t="s">
        <v>8</v>
      </c>
      <c r="S29" s="1575">
        <f t="shared" si="12"/>
        <v>100</v>
      </c>
      <c r="T29" s="1574" t="s">
        <v>8</v>
      </c>
      <c r="U29" s="1575">
        <f t="shared" si="13"/>
        <v>100</v>
      </c>
      <c r="V29" s="1574" t="s">
        <v>8</v>
      </c>
      <c r="W29" s="1575">
        <f t="shared" si="14"/>
        <v>100</v>
      </c>
      <c r="X29" s="1568"/>
      <c r="Y29" s="3692"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692"/>
      <c r="Q30" s="1606" t="str">
        <f t="shared" si="11"/>
        <v>项目建筑规模</v>
      </c>
      <c r="R30" s="1578" t="s">
        <v>8</v>
      </c>
      <c r="S30" s="1579" t="e">
        <f t="shared" si="12"/>
        <v>#N/A</v>
      </c>
      <c r="T30" s="1578" t="s">
        <v>8</v>
      </c>
      <c r="U30" s="1579" t="e">
        <f t="shared" si="13"/>
        <v>#N/A</v>
      </c>
      <c r="V30" s="1578" t="s">
        <v>8</v>
      </c>
      <c r="W30" s="1579" t="e">
        <f t="shared" si="14"/>
        <v>#N/A</v>
      </c>
      <c r="X30" s="1580"/>
      <c r="Y30" s="3692"/>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692"/>
      <c r="Q31" s="1573" t="str">
        <f t="shared" si="11"/>
        <v>建筑结构</v>
      </c>
      <c r="R31" s="1574" t="s">
        <v>8</v>
      </c>
      <c r="S31" s="1575">
        <f t="shared" si="12"/>
        <v>100</v>
      </c>
      <c r="T31" s="1574" t="s">
        <v>8</v>
      </c>
      <c r="U31" s="1575">
        <f t="shared" si="13"/>
        <v>100</v>
      </c>
      <c r="V31" s="1574" t="s">
        <v>8</v>
      </c>
      <c r="W31" s="1575">
        <f t="shared" si="14"/>
        <v>100</v>
      </c>
      <c r="X31" s="1568"/>
      <c r="Y31" s="3692"/>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692"/>
      <c r="Q32" s="1573" t="str">
        <f t="shared" si="11"/>
        <v>公共部分装修</v>
      </c>
      <c r="R32" s="1574" t="s">
        <v>8</v>
      </c>
      <c r="S32" s="1575">
        <f t="shared" si="12"/>
        <v>100</v>
      </c>
      <c r="T32" s="1574" t="s">
        <v>8</v>
      </c>
      <c r="U32" s="1575">
        <f t="shared" si="13"/>
        <v>100</v>
      </c>
      <c r="V32" s="1574" t="s">
        <v>8</v>
      </c>
      <c r="W32" s="1575">
        <f t="shared" si="14"/>
        <v>100</v>
      </c>
      <c r="X32" s="1568"/>
      <c r="Y32" s="3692"/>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692"/>
      <c r="Q33" s="1573" t="str">
        <f t="shared" si="11"/>
        <v>成新度</v>
      </c>
      <c r="R33" s="1574" t="s">
        <v>8</v>
      </c>
      <c r="S33" s="1575" t="e">
        <f t="shared" si="12"/>
        <v>#N/A</v>
      </c>
      <c r="T33" s="1574" t="s">
        <v>8</v>
      </c>
      <c r="U33" s="1575" t="e">
        <f t="shared" si="13"/>
        <v>#N/A</v>
      </c>
      <c r="V33" s="1574" t="s">
        <v>8</v>
      </c>
      <c r="W33" s="1575" t="e">
        <f t="shared" si="14"/>
        <v>#N/A</v>
      </c>
      <c r="X33" s="1568"/>
      <c r="Y33" s="3692"/>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692"/>
      <c r="Q34" s="1151" t="str">
        <f t="shared" si="11"/>
        <v>物业管理</v>
      </c>
      <c r="R34" s="1569" t="s">
        <v>8</v>
      </c>
      <c r="S34" s="1570">
        <f t="shared" si="12"/>
        <v>100</v>
      </c>
      <c r="T34" s="1569" t="s">
        <v>8</v>
      </c>
      <c r="U34" s="1570">
        <f t="shared" si="13"/>
        <v>100</v>
      </c>
      <c r="V34" s="1569" t="s">
        <v>8</v>
      </c>
      <c r="W34" s="1570">
        <f t="shared" si="14"/>
        <v>100</v>
      </c>
      <c r="X34" s="1571"/>
      <c r="Y34" s="3692"/>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692" t="s">
        <v>551</v>
      </c>
      <c r="Q35" s="1573" t="str">
        <f t="shared" si="11"/>
        <v>市政基础设施</v>
      </c>
      <c r="R35" s="1574" t="s">
        <v>8</v>
      </c>
      <c r="S35" s="1575">
        <f t="shared" si="12"/>
        <v>100</v>
      </c>
      <c r="T35" s="1574" t="s">
        <v>8</v>
      </c>
      <c r="U35" s="1575">
        <f t="shared" si="13"/>
        <v>100</v>
      </c>
      <c r="V35" s="1574" t="s">
        <v>8</v>
      </c>
      <c r="W35" s="1575">
        <f t="shared" si="14"/>
        <v>100</v>
      </c>
      <c r="X35" s="1568"/>
      <c r="Y35" s="3692"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692"/>
      <c r="Q36" s="1573" t="str">
        <f t="shared" si="11"/>
        <v>内部装修</v>
      </c>
      <c r="R36" s="1574" t="s">
        <v>8</v>
      </c>
      <c r="S36" s="1575">
        <f t="shared" si="12"/>
        <v>100</v>
      </c>
      <c r="T36" s="1574" t="s">
        <v>8</v>
      </c>
      <c r="U36" s="1575">
        <f t="shared" si="13"/>
        <v>100</v>
      </c>
      <c r="V36" s="1574" t="s">
        <v>8</v>
      </c>
      <c r="W36" s="1575">
        <f t="shared" si="14"/>
        <v>100</v>
      </c>
      <c r="X36" s="1568"/>
      <c r="Y36" s="3692"/>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692"/>
      <c r="Q37" s="1573" t="str">
        <f t="shared" si="11"/>
        <v>内部装修状况</v>
      </c>
      <c r="R37" s="1574" t="s">
        <v>8</v>
      </c>
      <c r="S37" s="1575">
        <f t="shared" si="12"/>
        <v>100</v>
      </c>
      <c r="T37" s="1574" t="s">
        <v>8</v>
      </c>
      <c r="U37" s="1575">
        <f t="shared" si="13"/>
        <v>100</v>
      </c>
      <c r="V37" s="1574" t="s">
        <v>8</v>
      </c>
      <c r="W37" s="1575">
        <f t="shared" si="14"/>
        <v>100</v>
      </c>
      <c r="X37" s="1568"/>
      <c r="Y37" s="369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692"/>
      <c r="Q38" s="1606">
        <f t="shared" si="11"/>
        <v>111</v>
      </c>
      <c r="R38" s="1578" t="s">
        <v>8</v>
      </c>
      <c r="S38" s="1579">
        <f t="shared" si="12"/>
        <v>100</v>
      </c>
      <c r="T38" s="1578" t="s">
        <v>8</v>
      </c>
      <c r="U38" s="1579">
        <f t="shared" si="13"/>
        <v>100</v>
      </c>
      <c r="V38" s="1578" t="s">
        <v>8</v>
      </c>
      <c r="W38" s="1579">
        <f t="shared" si="14"/>
        <v>100</v>
      </c>
      <c r="X38" s="1580"/>
      <c r="Y38" s="369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692"/>
      <c r="Q39" s="1573">
        <f t="shared" si="11"/>
        <v>111</v>
      </c>
      <c r="R39" s="1574" t="s">
        <v>8</v>
      </c>
      <c r="S39" s="1575">
        <f t="shared" si="12"/>
        <v>100</v>
      </c>
      <c r="T39" s="1574" t="s">
        <v>8</v>
      </c>
      <c r="U39" s="1575">
        <f t="shared" si="13"/>
        <v>100</v>
      </c>
      <c r="V39" s="1574" t="s">
        <v>8</v>
      </c>
      <c r="W39" s="1575">
        <f t="shared" si="14"/>
        <v>100</v>
      </c>
      <c r="X39" s="1568"/>
      <c r="Y39" s="369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69"/>
      <c r="Q40" s="1573">
        <f t="shared" si="11"/>
        <v>111</v>
      </c>
      <c r="R40" s="1574" t="s">
        <v>8</v>
      </c>
      <c r="S40" s="1575">
        <f t="shared" si="12"/>
        <v>100</v>
      </c>
      <c r="T40" s="1574" t="s">
        <v>8</v>
      </c>
      <c r="U40" s="1575">
        <f t="shared" si="13"/>
        <v>100</v>
      </c>
      <c r="V40" s="1574" t="s">
        <v>8</v>
      </c>
      <c r="W40" s="1575">
        <f t="shared" si="14"/>
        <v>100</v>
      </c>
      <c r="X40" s="1568"/>
      <c r="Y40" s="3769"/>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655" t="str">
        <f>A41</f>
        <v>成交单价（元/平方米）</v>
      </c>
      <c r="Q41" s="3655"/>
      <c r="R41" s="3768">
        <f>E41</f>
        <v>0</v>
      </c>
      <c r="S41" s="3768"/>
      <c r="T41" s="3768">
        <f>G41</f>
        <v>0</v>
      </c>
      <c r="U41" s="3768"/>
      <c r="V41" s="3768">
        <f>I41</f>
        <v>0</v>
      </c>
      <c r="W41" s="3768"/>
      <c r="X41" s="1560"/>
      <c r="Y41" s="1582"/>
      <c r="Z41" s="1560"/>
      <c r="AA41" s="1560"/>
      <c r="AB41" s="1560"/>
      <c r="AC41" s="1560"/>
    </row>
    <row r="42" spans="1:29" ht="15.75" thickBot="1">
      <c r="A42" s="615" t="s">
        <v>2767</v>
      </c>
      <c r="B42" s="888"/>
      <c r="C42" s="2659" t="e">
        <f>R43</f>
        <v>#DIV/0!</v>
      </c>
      <c r="D42" s="2660"/>
      <c r="E42" s="2661" t="e">
        <f>R42</f>
        <v>#DIV/0!</v>
      </c>
      <c r="F42" s="2661"/>
      <c r="G42" s="2659" t="e">
        <f>T42</f>
        <v>#DIV/0!</v>
      </c>
      <c r="H42" s="2660"/>
      <c r="I42" s="2661" t="e">
        <f>V42</f>
        <v>#DIV/0!</v>
      </c>
      <c r="J42" s="2660"/>
      <c r="K42" s="1613"/>
      <c r="L42" s="2146"/>
      <c r="M42" s="2147"/>
      <c r="N42" s="2136"/>
      <c r="O42" s="2147"/>
      <c r="P42" s="3655" t="str">
        <f>A42</f>
        <v>比较价格（元/平方米）</v>
      </c>
      <c r="Q42" s="3655"/>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1560"/>
      <c r="Y42" s="1560"/>
      <c r="Z42" s="1560"/>
      <c r="AA42" s="1560"/>
      <c r="AB42" s="1560"/>
      <c r="AC42" s="1560"/>
    </row>
    <row r="43" spans="1:29" ht="15.75" thickBot="1">
      <c r="A43" s="621" t="s">
        <v>2944</v>
      </c>
      <c r="B43" s="622"/>
      <c r="C43" s="2662" t="e">
        <f>R43</f>
        <v>#DIV/0!</v>
      </c>
      <c r="D43" s="2662"/>
      <c r="E43" s="2662"/>
      <c r="F43" s="2662"/>
      <c r="G43" s="2662"/>
      <c r="H43" s="2662"/>
      <c r="I43" s="2662"/>
      <c r="J43" s="2662"/>
      <c r="K43" s="1614"/>
      <c r="L43" s="2146"/>
      <c r="M43" s="2147"/>
      <c r="N43" s="2147"/>
      <c r="O43" s="2147"/>
      <c r="P43" s="3652" t="str">
        <f>A43</f>
        <v>估价对象XX用房的比较价格（楼面单价，元/平方米）</v>
      </c>
      <c r="Q43" s="3653"/>
      <c r="R43" s="3767" t="e">
        <f>IF(F1="售价",ROUND(AVERAGE(R42:V42),0),ROUND(AVERAGE(R42:V42),1))</f>
        <v>#DIV/0!</v>
      </c>
      <c r="S43" s="3767"/>
      <c r="T43" s="3767"/>
      <c r="U43" s="3767"/>
      <c r="V43" s="3767"/>
      <c r="W43" s="376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2565</v>
      </c>
      <c r="C76" s="2624" t="s">
        <v>2566</v>
      </c>
      <c r="D76" s="2624" t="s">
        <v>2567</v>
      </c>
      <c r="E76" s="2624" t="s">
        <v>2568</v>
      </c>
      <c r="F76" s="2624" t="s">
        <v>2569</v>
      </c>
      <c r="G76" s="2624"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61" t="s">
        <v>799</v>
      </c>
      <c r="D4" s="3662"/>
      <c r="E4" s="3661" t="s">
        <v>800</v>
      </c>
      <c r="F4" s="3662"/>
      <c r="G4" s="3661" t="s">
        <v>801</v>
      </c>
      <c r="H4" s="3662"/>
      <c r="I4" s="3661" t="s">
        <v>802</v>
      </c>
      <c r="J4" s="3662"/>
      <c r="K4" s="514" t="s">
        <v>803</v>
      </c>
      <c r="L4" s="2135"/>
      <c r="M4" s="2136"/>
      <c r="N4" s="2136"/>
      <c r="O4" s="2136"/>
      <c r="P4" s="3663" t="s">
        <v>804</v>
      </c>
      <c r="Q4" s="3664"/>
      <c r="R4" s="3669" t="s">
        <v>800</v>
      </c>
      <c r="S4" s="3670"/>
      <c r="T4" s="3669" t="s">
        <v>801</v>
      </c>
      <c r="U4" s="3670"/>
      <c r="V4" s="3656" t="s">
        <v>802</v>
      </c>
      <c r="W4" s="3656"/>
      <c r="X4" s="1568"/>
      <c r="Y4" s="3669" t="s">
        <v>804</v>
      </c>
      <c r="Z4" s="3670"/>
      <c r="AA4" s="3658" t="s">
        <v>800</v>
      </c>
      <c r="AB4" s="3659" t="s">
        <v>801</v>
      </c>
      <c r="AC4" s="3658" t="s">
        <v>802</v>
      </c>
    </row>
    <row r="5" spans="1:29" ht="15">
      <c r="A5" s="515"/>
      <c r="B5" s="516"/>
      <c r="C5" s="3677" t="s">
        <v>2938</v>
      </c>
      <c r="D5" s="3678"/>
      <c r="E5" s="3677" t="s">
        <v>2939</v>
      </c>
      <c r="F5" s="3678"/>
      <c r="G5" s="3677" t="s">
        <v>2940</v>
      </c>
      <c r="H5" s="3678"/>
      <c r="I5" s="3677" t="s">
        <v>2941</v>
      </c>
      <c r="J5" s="3678"/>
      <c r="K5" s="514"/>
      <c r="L5" s="2135"/>
      <c r="M5" s="2136"/>
      <c r="N5" s="2136"/>
      <c r="O5" s="2136"/>
      <c r="P5" s="3665"/>
      <c r="Q5" s="3666"/>
      <c r="R5" s="3671"/>
      <c r="S5" s="3672"/>
      <c r="T5" s="3671"/>
      <c r="U5" s="3672"/>
      <c r="V5" s="3656"/>
      <c r="W5" s="3656"/>
      <c r="X5" s="1568"/>
      <c r="Y5" s="3671"/>
      <c r="Z5" s="3672"/>
      <c r="AA5" s="3659"/>
      <c r="AB5" s="3659"/>
      <c r="AC5" s="3659"/>
    </row>
    <row r="6" spans="1:29" ht="15.75" thickBot="1">
      <c r="A6" s="517"/>
      <c r="B6" s="518"/>
      <c r="C6" s="3675" t="s">
        <v>2942</v>
      </c>
      <c r="D6" s="3676"/>
      <c r="E6" s="3679" t="s">
        <v>2942</v>
      </c>
      <c r="F6" s="3680"/>
      <c r="G6" s="3675" t="s">
        <v>2942</v>
      </c>
      <c r="H6" s="3676"/>
      <c r="I6" s="3675" t="s">
        <v>2942</v>
      </c>
      <c r="J6" s="3676"/>
      <c r="K6" s="514" t="s">
        <v>529</v>
      </c>
      <c r="L6" s="2135"/>
      <c r="M6" s="2136"/>
      <c r="N6" s="2136"/>
      <c r="O6" s="2136"/>
      <c r="P6" s="3667"/>
      <c r="Q6" s="3668"/>
      <c r="R6" s="3671"/>
      <c r="S6" s="3672"/>
      <c r="T6" s="3673"/>
      <c r="U6" s="3674"/>
      <c r="V6" s="3656"/>
      <c r="W6" s="3656"/>
      <c r="X6" s="1568"/>
      <c r="Y6" s="3673"/>
      <c r="Z6" s="3674"/>
      <c r="AA6" s="3660"/>
      <c r="AB6" s="3660"/>
      <c r="AC6" s="3660"/>
    </row>
    <row r="7" spans="1:29" s="1220" customFormat="1" ht="15.75" thickBot="1">
      <c r="A7" s="2939"/>
      <c r="B7" s="2946" t="s">
        <v>530</v>
      </c>
      <c r="C7" s="519">
        <f>'数据-取费表'!B2</f>
        <v>43174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86" t="s">
        <v>531</v>
      </c>
      <c r="Q7" s="3688"/>
      <c r="R7" s="1569" t="s">
        <v>8</v>
      </c>
      <c r="S7" s="1570">
        <f t="shared" ref="S7:S14" si="0">F7</f>
        <v>0</v>
      </c>
      <c r="T7" s="1569" t="s">
        <v>8</v>
      </c>
      <c r="U7" s="1570">
        <f t="shared" ref="U7:U14" si="1">H7</f>
        <v>0</v>
      </c>
      <c r="V7" s="1569" t="s">
        <v>8</v>
      </c>
      <c r="W7" s="1570">
        <f t="shared" ref="W7:W14" si="2">J7</f>
        <v>0</v>
      </c>
      <c r="X7" s="1571"/>
      <c r="Y7" s="3686" t="s">
        <v>531</v>
      </c>
      <c r="Z7" s="3687"/>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86" t="s">
        <v>534</v>
      </c>
      <c r="Q8" s="3687"/>
      <c r="R8" s="1569" t="s">
        <v>8</v>
      </c>
      <c r="S8" s="1570">
        <f t="shared" si="0"/>
        <v>0</v>
      </c>
      <c r="T8" s="1569" t="s">
        <v>8</v>
      </c>
      <c r="U8" s="1570">
        <f t="shared" si="1"/>
        <v>0</v>
      </c>
      <c r="V8" s="1569" t="s">
        <v>8</v>
      </c>
      <c r="W8" s="1570">
        <f t="shared" si="2"/>
        <v>0</v>
      </c>
      <c r="X8" s="1571"/>
      <c r="Y8" s="3686" t="s">
        <v>534</v>
      </c>
      <c r="Z8" s="3687"/>
      <c r="AA8" s="1572" t="e">
        <f t="shared" ref="AA8:AA36" si="3">D8/F8</f>
        <v>#DIV/0!</v>
      </c>
      <c r="AB8" s="1572" t="e">
        <f t="shared" ref="AB8:AB36" si="4">D8/H8</f>
        <v>#DIV/0!</v>
      </c>
      <c r="AC8" s="1572" t="e">
        <f t="shared" ref="AC8:AC36" si="5">D8/J8</f>
        <v>#DIV/0!</v>
      </c>
    </row>
    <row r="9" spans="1:29" s="1220" customFormat="1" ht="15">
      <c r="A9" s="2941"/>
      <c r="B9" s="2948" t="s">
        <v>2763</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55" t="s">
        <v>536</v>
      </c>
      <c r="Q9" s="1151" t="str">
        <f t="shared" ref="Q9:Q14" si="6">B9</f>
        <v>用途</v>
      </c>
      <c r="R9" s="1569" t="s">
        <v>8</v>
      </c>
      <c r="S9" s="1570">
        <f t="shared" si="0"/>
        <v>100</v>
      </c>
      <c r="T9" s="1569" t="s">
        <v>8</v>
      </c>
      <c r="U9" s="1570">
        <f t="shared" si="1"/>
        <v>100</v>
      </c>
      <c r="V9" s="1569" t="s">
        <v>8</v>
      </c>
      <c r="W9" s="1570">
        <f t="shared" si="2"/>
        <v>100</v>
      </c>
      <c r="X9" s="1571"/>
      <c r="Y9" s="3601"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55"/>
      <c r="Q10" s="1151" t="str">
        <f t="shared" si="6"/>
        <v>土地使用年限（年）</v>
      </c>
      <c r="R10" s="1569" t="s">
        <v>8</v>
      </c>
      <c r="S10" s="1570">
        <f t="shared" si="0"/>
        <v>100</v>
      </c>
      <c r="T10" s="1569" t="s">
        <v>8</v>
      </c>
      <c r="U10" s="1570">
        <f t="shared" si="1"/>
        <v>100</v>
      </c>
      <c r="V10" s="1569" t="s">
        <v>8</v>
      </c>
      <c r="W10" s="1570">
        <f t="shared" si="2"/>
        <v>100</v>
      </c>
      <c r="X10" s="1571"/>
      <c r="Y10" s="3601"/>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55"/>
      <c r="Q11" s="1151">
        <f t="shared" si="6"/>
        <v>111</v>
      </c>
      <c r="R11" s="1569" t="s">
        <v>8</v>
      </c>
      <c r="S11" s="1570">
        <f t="shared" si="0"/>
        <v>100</v>
      </c>
      <c r="T11" s="1569" t="s">
        <v>8</v>
      </c>
      <c r="U11" s="1570">
        <f t="shared" si="1"/>
        <v>100</v>
      </c>
      <c r="V11" s="1569" t="s">
        <v>8</v>
      </c>
      <c r="W11" s="1570">
        <f t="shared" si="2"/>
        <v>100</v>
      </c>
      <c r="X11" s="1571"/>
      <c r="Y11" s="3601"/>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55"/>
      <c r="Q12" s="1151">
        <f t="shared" si="6"/>
        <v>111</v>
      </c>
      <c r="R12" s="1569" t="s">
        <v>8</v>
      </c>
      <c r="S12" s="1570">
        <f t="shared" si="0"/>
        <v>100</v>
      </c>
      <c r="T12" s="1569" t="s">
        <v>8</v>
      </c>
      <c r="U12" s="1570">
        <f t="shared" si="1"/>
        <v>100</v>
      </c>
      <c r="V12" s="1569" t="s">
        <v>8</v>
      </c>
      <c r="W12" s="1570">
        <f t="shared" si="2"/>
        <v>100</v>
      </c>
      <c r="X12" s="1571"/>
      <c r="Y12" s="3601"/>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55"/>
      <c r="Q13" s="1151">
        <f t="shared" si="6"/>
        <v>111</v>
      </c>
      <c r="R13" s="1569" t="s">
        <v>8</v>
      </c>
      <c r="S13" s="1570">
        <f t="shared" si="0"/>
        <v>100</v>
      </c>
      <c r="T13" s="1569" t="s">
        <v>8</v>
      </c>
      <c r="U13" s="1570">
        <f t="shared" si="1"/>
        <v>100</v>
      </c>
      <c r="V13" s="1569" t="s">
        <v>8</v>
      </c>
      <c r="W13" s="1570">
        <f t="shared" si="2"/>
        <v>100</v>
      </c>
      <c r="X13" s="1571"/>
      <c r="Y13" s="3601"/>
      <c r="Z13" s="1150">
        <f t="shared" si="7"/>
        <v>111</v>
      </c>
      <c r="AA13" s="1572">
        <f t="shared" si="3"/>
        <v>1</v>
      </c>
      <c r="AB13" s="1572">
        <f t="shared" si="4"/>
        <v>1</v>
      </c>
      <c r="AC13" s="1572">
        <f t="shared" si="5"/>
        <v>1</v>
      </c>
    </row>
    <row r="14" spans="1:29" ht="85.5">
      <c r="A14" s="2937"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689" t="s">
        <v>541</v>
      </c>
      <c r="Q14" s="1573" t="str">
        <f t="shared" si="6"/>
        <v>交通便捷度</v>
      </c>
      <c r="R14" s="1574" t="s">
        <v>8</v>
      </c>
      <c r="S14" s="1575">
        <f t="shared" si="0"/>
        <v>100</v>
      </c>
      <c r="T14" s="1574" t="s">
        <v>8</v>
      </c>
      <c r="U14" s="1575">
        <f t="shared" si="1"/>
        <v>100</v>
      </c>
      <c r="V14" s="1574" t="s">
        <v>8</v>
      </c>
      <c r="W14" s="1575">
        <f t="shared" si="2"/>
        <v>100</v>
      </c>
      <c r="X14" s="1568"/>
      <c r="Y14" s="3689"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690"/>
      <c r="Q15" s="1573"/>
      <c r="R15" s="1574"/>
      <c r="S15" s="1575"/>
      <c r="T15" s="1574"/>
      <c r="U15" s="1575"/>
      <c r="V15" s="1574"/>
      <c r="W15" s="1575"/>
      <c r="X15" s="1568"/>
      <c r="Y15" s="3690"/>
      <c r="Z15" s="1576"/>
      <c r="AA15" s="1577">
        <v>1</v>
      </c>
      <c r="AB15" s="1577">
        <v>1</v>
      </c>
      <c r="AC15" s="1577">
        <v>1</v>
      </c>
    </row>
    <row r="16" spans="1:29" ht="42.75">
      <c r="A16" s="515"/>
      <c r="B16" s="2629"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690"/>
      <c r="Q16" s="1573" t="str">
        <f>B16</f>
        <v>公共配套设施</v>
      </c>
      <c r="R16" s="1574" t="s">
        <v>8</v>
      </c>
      <c r="S16" s="1575">
        <f>F16</f>
        <v>100</v>
      </c>
      <c r="T16" s="1574" t="s">
        <v>8</v>
      </c>
      <c r="U16" s="1575">
        <f>H16</f>
        <v>100</v>
      </c>
      <c r="V16" s="1574" t="s">
        <v>8</v>
      </c>
      <c r="W16" s="1575">
        <f>J16</f>
        <v>100</v>
      </c>
      <c r="X16" s="1568"/>
      <c r="Y16" s="369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690"/>
      <c r="Q17" s="1573"/>
      <c r="R17" s="1574"/>
      <c r="S17" s="1575"/>
      <c r="T17" s="1574"/>
      <c r="U17" s="1575"/>
      <c r="V17" s="1574"/>
      <c r="W17" s="1575"/>
      <c r="X17" s="1568"/>
      <c r="Y17" s="3690"/>
      <c r="Z17" s="1576"/>
      <c r="AA17" s="1577">
        <v>1</v>
      </c>
      <c r="AB17" s="1577">
        <v>1</v>
      </c>
      <c r="AC17" s="1577">
        <v>1</v>
      </c>
    </row>
    <row r="18" spans="1:29" ht="28.5">
      <c r="A18" s="515"/>
      <c r="B18" s="2617"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690"/>
      <c r="Q18" s="2605" t="str">
        <f>B18</f>
        <v>基础设施水平</v>
      </c>
      <c r="R18" s="1574" t="s">
        <v>8</v>
      </c>
      <c r="S18" s="1575">
        <f>F18</f>
        <v>100</v>
      </c>
      <c r="T18" s="1574" t="s">
        <v>8</v>
      </c>
      <c r="U18" s="1575">
        <f>H18</f>
        <v>100</v>
      </c>
      <c r="V18" s="1574" t="s">
        <v>8</v>
      </c>
      <c r="W18" s="1575">
        <f>J18</f>
        <v>100</v>
      </c>
      <c r="X18" s="2607"/>
      <c r="Y18" s="3690"/>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690"/>
      <c r="Q19" s="2605"/>
      <c r="R19" s="1574"/>
      <c r="S19" s="1575"/>
      <c r="T19" s="1574"/>
      <c r="U19" s="1575"/>
      <c r="V19" s="1574"/>
      <c r="W19" s="1575"/>
      <c r="X19" s="2607"/>
      <c r="Y19" s="3690"/>
      <c r="Z19" s="2606"/>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690"/>
      <c r="Q20" s="1573" t="str">
        <f>B20</f>
        <v>自然及人文环境</v>
      </c>
      <c r="R20" s="1574" t="s">
        <v>8</v>
      </c>
      <c r="S20" s="1575">
        <f>F20</f>
        <v>100</v>
      </c>
      <c r="T20" s="1574" t="s">
        <v>8</v>
      </c>
      <c r="U20" s="1575">
        <f>H20</f>
        <v>100</v>
      </c>
      <c r="V20" s="1574" t="s">
        <v>8</v>
      </c>
      <c r="W20" s="1575">
        <f>J20</f>
        <v>100</v>
      </c>
      <c r="X20" s="1568"/>
      <c r="Y20" s="369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690"/>
      <c r="Q21" s="1573"/>
      <c r="R21" s="1574"/>
      <c r="S21" s="1575"/>
      <c r="T21" s="1574"/>
      <c r="U21" s="1575"/>
      <c r="V21" s="1574"/>
      <c r="W21" s="1575"/>
      <c r="X21" s="1568"/>
      <c r="Y21" s="3690"/>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690"/>
      <c r="Q22" s="1573" t="str">
        <f>B22</f>
        <v>楼层</v>
      </c>
      <c r="R22" s="1574" t="s">
        <v>8</v>
      </c>
      <c r="S22" s="1575">
        <f>F22</f>
        <v>100</v>
      </c>
      <c r="T22" s="1574" t="s">
        <v>8</v>
      </c>
      <c r="U22" s="1575">
        <f>H22</f>
        <v>100</v>
      </c>
      <c r="V22" s="1574" t="s">
        <v>8</v>
      </c>
      <c r="W22" s="1575">
        <f>J22</f>
        <v>100</v>
      </c>
      <c r="X22" s="1568"/>
      <c r="Y22" s="369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690"/>
      <c r="Q23" s="1573">
        <f>B23</f>
        <v>111</v>
      </c>
      <c r="R23" s="1574" t="s">
        <v>8</v>
      </c>
      <c r="S23" s="1575">
        <f>F23</f>
        <v>100</v>
      </c>
      <c r="T23" s="1574" t="s">
        <v>8</v>
      </c>
      <c r="U23" s="1575">
        <f>H23</f>
        <v>100</v>
      </c>
      <c r="V23" s="1574" t="s">
        <v>8</v>
      </c>
      <c r="W23" s="1575">
        <f>J23</f>
        <v>100</v>
      </c>
      <c r="X23" s="1568"/>
      <c r="Y23" s="369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690"/>
      <c r="Q24" s="1573">
        <f t="shared" ref="Q24:Q36" si="11">B24</f>
        <v>111</v>
      </c>
      <c r="R24" s="1574" t="s">
        <v>8</v>
      </c>
      <c r="S24" s="1575">
        <f>F24</f>
        <v>100</v>
      </c>
      <c r="T24" s="1574" t="s">
        <v>8</v>
      </c>
      <c r="U24" s="1575">
        <f>H24</f>
        <v>100</v>
      </c>
      <c r="V24" s="1574" t="s">
        <v>8</v>
      </c>
      <c r="W24" s="1575">
        <f>J24</f>
        <v>100</v>
      </c>
      <c r="X24" s="1568"/>
      <c r="Y24" s="369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690"/>
      <c r="Q25" s="1151">
        <f t="shared" si="11"/>
        <v>111</v>
      </c>
      <c r="R25" s="1569" t="s">
        <v>8</v>
      </c>
      <c r="S25" s="1570">
        <f>F25</f>
        <v>100</v>
      </c>
      <c r="T25" s="1569" t="s">
        <v>8</v>
      </c>
      <c r="U25" s="1570">
        <f>H25</f>
        <v>100</v>
      </c>
      <c r="V25" s="1569" t="s">
        <v>8</v>
      </c>
      <c r="W25" s="1570">
        <f>J25</f>
        <v>100</v>
      </c>
      <c r="X25" s="1571"/>
      <c r="Y25" s="3690"/>
      <c r="Z25" s="1150">
        <f>Q25</f>
        <v>111</v>
      </c>
      <c r="AA25" s="1577">
        <f>D25/F25</f>
        <v>1</v>
      </c>
      <c r="AB25" s="1577">
        <f>D25/H25</f>
        <v>1</v>
      </c>
      <c r="AC25" s="1577">
        <f>D25/J25</f>
        <v>1</v>
      </c>
    </row>
    <row r="26" spans="1:29" ht="15">
      <c r="A26" s="2934"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691"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92"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692"/>
      <c r="Q27" s="1606" t="str">
        <f t="shared" si="11"/>
        <v>项目停车位配比</v>
      </c>
      <c r="R27" s="1578" t="s">
        <v>8</v>
      </c>
      <c r="S27" s="1579">
        <f t="shared" si="12"/>
        <v>100</v>
      </c>
      <c r="T27" s="1578" t="s">
        <v>8</v>
      </c>
      <c r="U27" s="1579">
        <f t="shared" si="13"/>
        <v>100</v>
      </c>
      <c r="V27" s="1578" t="s">
        <v>8</v>
      </c>
      <c r="W27" s="1579">
        <f t="shared" si="14"/>
        <v>100</v>
      </c>
      <c r="X27" s="1580"/>
      <c r="Y27" s="3692"/>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692"/>
      <c r="Q28" s="1573" t="str">
        <f t="shared" si="11"/>
        <v>公共部分装修</v>
      </c>
      <c r="R28" s="1574" t="s">
        <v>8</v>
      </c>
      <c r="S28" s="1575">
        <f t="shared" si="12"/>
        <v>100</v>
      </c>
      <c r="T28" s="1574" t="s">
        <v>8</v>
      </c>
      <c r="U28" s="1575">
        <f t="shared" si="13"/>
        <v>100</v>
      </c>
      <c r="V28" s="1574" t="s">
        <v>8</v>
      </c>
      <c r="W28" s="1575">
        <f t="shared" si="14"/>
        <v>100</v>
      </c>
      <c r="X28" s="1568"/>
      <c r="Y28" s="3692"/>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692"/>
      <c r="Q29" s="1573" t="str">
        <f t="shared" si="11"/>
        <v>成新率</v>
      </c>
      <c r="R29" s="1574" t="s">
        <v>8</v>
      </c>
      <c r="S29" s="1575" t="e">
        <f t="shared" si="12"/>
        <v>#N/A</v>
      </c>
      <c r="T29" s="1574" t="s">
        <v>8</v>
      </c>
      <c r="U29" s="1575" t="e">
        <f t="shared" si="13"/>
        <v>#N/A</v>
      </c>
      <c r="V29" s="1574" t="s">
        <v>8</v>
      </c>
      <c r="W29" s="1575" t="e">
        <f t="shared" si="14"/>
        <v>#N/A</v>
      </c>
      <c r="X29" s="1568"/>
      <c r="Y29" s="3692"/>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692"/>
      <c r="Q30" s="1573" t="str">
        <f t="shared" si="11"/>
        <v>物业等级</v>
      </c>
      <c r="R30" s="1574" t="s">
        <v>8</v>
      </c>
      <c r="S30" s="1575">
        <f t="shared" si="12"/>
        <v>100</v>
      </c>
      <c r="T30" s="1574" t="s">
        <v>8</v>
      </c>
      <c r="U30" s="1575">
        <f t="shared" si="13"/>
        <v>100</v>
      </c>
      <c r="V30" s="1574" t="s">
        <v>8</v>
      </c>
      <c r="W30" s="1575">
        <f t="shared" si="14"/>
        <v>100</v>
      </c>
      <c r="X30" s="1568"/>
      <c r="Y30" s="3692"/>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692"/>
      <c r="Q31" s="1151" t="str">
        <f t="shared" si="11"/>
        <v>停车位面积</v>
      </c>
      <c r="R31" s="1569" t="s">
        <v>8</v>
      </c>
      <c r="S31" s="1570" t="e">
        <f t="shared" si="12"/>
        <v>#N/A</v>
      </c>
      <c r="T31" s="1569" t="s">
        <v>8</v>
      </c>
      <c r="U31" s="1570" t="e">
        <f t="shared" si="13"/>
        <v>#N/A</v>
      </c>
      <c r="V31" s="1569" t="s">
        <v>8</v>
      </c>
      <c r="W31" s="1570" t="e">
        <f t="shared" si="14"/>
        <v>#N/A</v>
      </c>
      <c r="X31" s="1571"/>
      <c r="Y31" s="3692"/>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692" t="s">
        <v>551</v>
      </c>
      <c r="Q32" s="1573" t="str">
        <f t="shared" si="11"/>
        <v>车位类型</v>
      </c>
      <c r="R32" s="1574" t="s">
        <v>8</v>
      </c>
      <c r="S32" s="1575">
        <f t="shared" si="12"/>
        <v>100</v>
      </c>
      <c r="T32" s="1574" t="s">
        <v>8</v>
      </c>
      <c r="U32" s="1575">
        <f t="shared" si="13"/>
        <v>100</v>
      </c>
      <c r="V32" s="1574" t="s">
        <v>8</v>
      </c>
      <c r="W32" s="1575">
        <f t="shared" si="14"/>
        <v>100</v>
      </c>
      <c r="X32" s="1568"/>
      <c r="Y32" s="3692"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692"/>
      <c r="Q33" s="1573" t="str">
        <f t="shared" si="11"/>
        <v>是否直接入户</v>
      </c>
      <c r="R33" s="1574" t="s">
        <v>8</v>
      </c>
      <c r="S33" s="1575">
        <f t="shared" si="12"/>
        <v>100</v>
      </c>
      <c r="T33" s="1574" t="s">
        <v>8</v>
      </c>
      <c r="U33" s="1575">
        <f t="shared" si="13"/>
        <v>100</v>
      </c>
      <c r="V33" s="1574" t="s">
        <v>8</v>
      </c>
      <c r="W33" s="1575">
        <f t="shared" si="14"/>
        <v>100</v>
      </c>
      <c r="X33" s="1568"/>
      <c r="Y33" s="369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692"/>
      <c r="Q34" s="1573">
        <f t="shared" si="11"/>
        <v>111</v>
      </c>
      <c r="R34" s="1574" t="s">
        <v>8</v>
      </c>
      <c r="S34" s="1575">
        <f t="shared" si="12"/>
        <v>100</v>
      </c>
      <c r="T34" s="1574" t="s">
        <v>8</v>
      </c>
      <c r="U34" s="1575">
        <f t="shared" si="13"/>
        <v>100</v>
      </c>
      <c r="V34" s="1574" t="s">
        <v>8</v>
      </c>
      <c r="W34" s="1575">
        <f t="shared" si="14"/>
        <v>100</v>
      </c>
      <c r="X34" s="1568"/>
      <c r="Y34" s="369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692"/>
      <c r="Q35" s="1606">
        <f t="shared" si="11"/>
        <v>111</v>
      </c>
      <c r="R35" s="1578" t="s">
        <v>8</v>
      </c>
      <c r="S35" s="1579">
        <f t="shared" si="12"/>
        <v>100</v>
      </c>
      <c r="T35" s="1578" t="s">
        <v>8</v>
      </c>
      <c r="U35" s="1579">
        <f t="shared" si="13"/>
        <v>100</v>
      </c>
      <c r="V35" s="1578" t="s">
        <v>8</v>
      </c>
      <c r="W35" s="1579">
        <f t="shared" si="14"/>
        <v>100</v>
      </c>
      <c r="X35" s="1580"/>
      <c r="Y35" s="369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692"/>
      <c r="Q36" s="1573">
        <f t="shared" si="11"/>
        <v>111</v>
      </c>
      <c r="R36" s="1574" t="s">
        <v>8</v>
      </c>
      <c r="S36" s="1575">
        <f t="shared" si="12"/>
        <v>100</v>
      </c>
      <c r="T36" s="1574" t="s">
        <v>8</v>
      </c>
      <c r="U36" s="1575">
        <f t="shared" si="13"/>
        <v>100</v>
      </c>
      <c r="V36" s="1574" t="s">
        <v>8</v>
      </c>
      <c r="W36" s="1575">
        <f t="shared" si="14"/>
        <v>100</v>
      </c>
      <c r="X36" s="1568"/>
      <c r="Y36" s="3692"/>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655" t="str">
        <f>A37</f>
        <v>成交单价</v>
      </c>
      <c r="Q37" s="3655"/>
      <c r="R37" s="3768">
        <f>E37</f>
        <v>0</v>
      </c>
      <c r="S37" s="3768"/>
      <c r="T37" s="3768">
        <f>G37</f>
        <v>0</v>
      </c>
      <c r="U37" s="3768"/>
      <c r="V37" s="3768">
        <f>I37</f>
        <v>0</v>
      </c>
      <c r="W37" s="3768"/>
      <c r="X37" s="1560"/>
      <c r="Y37" s="1582"/>
      <c r="Z37" s="1560"/>
      <c r="AA37" s="1560"/>
      <c r="AB37" s="1560"/>
      <c r="AC37" s="1560"/>
    </row>
    <row r="38" spans="1:29" ht="15.75" thickBot="1">
      <c r="A38" s="615" t="s">
        <v>2767</v>
      </c>
      <c r="B38" s="888"/>
      <c r="C38" s="2659" t="e">
        <f>R39</f>
        <v>#DIV/0!</v>
      </c>
      <c r="D38" s="2660"/>
      <c r="E38" s="2661" t="e">
        <f>R38</f>
        <v>#DIV/0!</v>
      </c>
      <c r="F38" s="2661"/>
      <c r="G38" s="2659" t="e">
        <f>T38</f>
        <v>#DIV/0!</v>
      </c>
      <c r="H38" s="2660"/>
      <c r="I38" s="2661" t="e">
        <f>V38</f>
        <v>#DIV/0!</v>
      </c>
      <c r="J38" s="2660"/>
      <c r="K38" s="1613"/>
      <c r="L38" s="2146"/>
      <c r="M38" s="2147"/>
      <c r="N38" s="2147"/>
      <c r="O38" s="2147"/>
      <c r="P38" s="3655" t="str">
        <f>A38</f>
        <v>比较价格（元/平方米）</v>
      </c>
      <c r="Q38" s="3655"/>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1560"/>
      <c r="Y38" s="1560"/>
      <c r="Z38" s="1560"/>
      <c r="AA38" s="1560"/>
      <c r="AB38" s="1560"/>
      <c r="AC38" s="1560"/>
    </row>
    <row r="39" spans="1:29" ht="15.75" thickBot="1">
      <c r="A39" s="621" t="s">
        <v>2944</v>
      </c>
      <c r="B39" s="622"/>
      <c r="C39" s="2662" t="e">
        <f>R39</f>
        <v>#DIV/0!</v>
      </c>
      <c r="D39" s="2662"/>
      <c r="E39" s="2662"/>
      <c r="F39" s="2662"/>
      <c r="G39" s="2662"/>
      <c r="H39" s="2662"/>
      <c r="I39" s="2662"/>
      <c r="J39" s="2662"/>
      <c r="K39" s="1614"/>
      <c r="L39" s="2146"/>
      <c r="M39" s="2147"/>
      <c r="N39" s="2147"/>
      <c r="O39" s="2147"/>
      <c r="P39" s="3652" t="str">
        <f>A39</f>
        <v>估价对象XX用房的比较价格（楼面单价，元/平方米）</v>
      </c>
      <c r="Q39" s="3653"/>
      <c r="R39" s="3767" t="e">
        <f>IF(F1="售价",ROUND(AVERAGE(R38:V38),0),ROUND(AVERAGE(R38:V38),1))</f>
        <v>#DIV/0!</v>
      </c>
      <c r="S39" s="3767"/>
      <c r="T39" s="3767"/>
      <c r="U39" s="3767"/>
      <c r="V39" s="3767"/>
      <c r="W39" s="376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2565</v>
      </c>
      <c r="C67" s="2624" t="s">
        <v>2566</v>
      </c>
      <c r="D67" s="2624" t="s">
        <v>2567</v>
      </c>
      <c r="E67" s="2624" t="s">
        <v>2568</v>
      </c>
      <c r="F67" s="2624" t="s">
        <v>2569</v>
      </c>
      <c r="G67" s="2624" t="s">
        <v>2570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72735平方米。根据《建设工程规划许可证》[]、《出让合同》[]，估价对象规划建筑面积为87282平方米。</v>
      </c>
    </row>
    <row r="7" spans="1:4" ht="56.25">
      <c r="A7" s="1797" t="s">
        <v>2754</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2018年3月15日（评估专业人员勘察现场之日）</v>
      </c>
    </row>
    <row r="12" spans="1:4" ht="18.75">
      <c r="A12" s="1799" t="s">
        <v>2029</v>
      </c>
    </row>
    <row r="13" spans="1:4" ht="18.75">
      <c r="A13" s="1793" t="s">
        <v>2952</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根据《国有土地使用证》[]，估价对象（分摊）出让国有建设用地使用权面积为72735平方米。根据《建设工程规划许可证》[]、《出让合同》[]，估价对象规划建筑面积为87282平方米。</v>
      </c>
    </row>
    <row r="21" spans="1:1" ht="18.75">
      <c r="A21" s="1793" t="s">
        <v>2078</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11月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3月15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61" t="s">
        <v>799</v>
      </c>
      <c r="D4" s="3662"/>
      <c r="E4" s="3695" t="s">
        <v>800</v>
      </c>
      <c r="F4" s="3696"/>
      <c r="G4" s="3661" t="s">
        <v>801</v>
      </c>
      <c r="H4" s="3662"/>
      <c r="I4" s="3661" t="s">
        <v>802</v>
      </c>
      <c r="J4" s="3662"/>
      <c r="K4" s="514" t="s">
        <v>803</v>
      </c>
      <c r="L4" s="2135"/>
      <c r="M4" s="2136"/>
      <c r="N4" s="2136"/>
      <c r="O4" s="2136"/>
      <c r="P4" s="3663" t="s">
        <v>804</v>
      </c>
      <c r="Q4" s="3664"/>
      <c r="R4" s="3669" t="s">
        <v>800</v>
      </c>
      <c r="S4" s="3670"/>
      <c r="T4" s="3669" t="s">
        <v>801</v>
      </c>
      <c r="U4" s="3670"/>
      <c r="V4" s="3656" t="s">
        <v>802</v>
      </c>
      <c r="W4" s="3656"/>
      <c r="X4" s="1568"/>
      <c r="Y4" s="3669" t="s">
        <v>804</v>
      </c>
      <c r="Z4" s="3670"/>
      <c r="AA4" s="3658" t="s">
        <v>800</v>
      </c>
      <c r="AB4" s="3659" t="s">
        <v>801</v>
      </c>
      <c r="AC4" s="3658" t="s">
        <v>802</v>
      </c>
    </row>
    <row r="5" spans="1:29" ht="15">
      <c r="A5" s="515"/>
      <c r="B5" s="516"/>
      <c r="C5" s="3677" t="s">
        <v>2938</v>
      </c>
      <c r="D5" s="3678"/>
      <c r="E5" s="3697" t="s">
        <v>2939</v>
      </c>
      <c r="F5" s="3698"/>
      <c r="G5" s="3677" t="s">
        <v>2940</v>
      </c>
      <c r="H5" s="3678"/>
      <c r="I5" s="3677" t="s">
        <v>2941</v>
      </c>
      <c r="J5" s="3678"/>
      <c r="K5" s="514"/>
      <c r="L5" s="2135"/>
      <c r="M5" s="2136"/>
      <c r="N5" s="2136"/>
      <c r="O5" s="2136"/>
      <c r="P5" s="3665"/>
      <c r="Q5" s="3666"/>
      <c r="R5" s="3671"/>
      <c r="S5" s="3672"/>
      <c r="T5" s="3671"/>
      <c r="U5" s="3672"/>
      <c r="V5" s="3656"/>
      <c r="W5" s="3656"/>
      <c r="X5" s="1568"/>
      <c r="Y5" s="3671"/>
      <c r="Z5" s="3672"/>
      <c r="AA5" s="3659"/>
      <c r="AB5" s="3659"/>
      <c r="AC5" s="3659"/>
    </row>
    <row r="6" spans="1:29" ht="15.75" thickBot="1">
      <c r="A6" s="517"/>
      <c r="B6" s="518"/>
      <c r="C6" s="3675" t="s">
        <v>2942</v>
      </c>
      <c r="D6" s="3676"/>
      <c r="E6" s="3693" t="s">
        <v>2942</v>
      </c>
      <c r="F6" s="3694"/>
      <c r="G6" s="3675" t="s">
        <v>2942</v>
      </c>
      <c r="H6" s="3676"/>
      <c r="I6" s="3675" t="s">
        <v>2942</v>
      </c>
      <c r="J6" s="3676"/>
      <c r="K6" s="514" t="s">
        <v>529</v>
      </c>
      <c r="L6" s="2135"/>
      <c r="M6" s="2136"/>
      <c r="N6" s="2136"/>
      <c r="O6" s="2136"/>
      <c r="P6" s="3667"/>
      <c r="Q6" s="3668"/>
      <c r="R6" s="3671"/>
      <c r="S6" s="3672"/>
      <c r="T6" s="3673"/>
      <c r="U6" s="3674"/>
      <c r="V6" s="3656"/>
      <c r="W6" s="3656"/>
      <c r="X6" s="1568"/>
      <c r="Y6" s="3673"/>
      <c r="Z6" s="3674"/>
      <c r="AA6" s="3660"/>
      <c r="AB6" s="3660"/>
      <c r="AC6" s="3660"/>
    </row>
    <row r="7" spans="1:29" s="1220" customFormat="1" ht="15.75" thickBot="1">
      <c r="A7" s="2939"/>
      <c r="B7" s="2946" t="s">
        <v>530</v>
      </c>
      <c r="C7" s="519">
        <f>'数据-取费表'!B2</f>
        <v>43174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86" t="s">
        <v>531</v>
      </c>
      <c r="Q7" s="3688"/>
      <c r="R7" s="1569" t="s">
        <v>8</v>
      </c>
      <c r="S7" s="1570">
        <f t="shared" ref="S7:S14" si="0">F7</f>
        <v>0</v>
      </c>
      <c r="T7" s="1569" t="s">
        <v>8</v>
      </c>
      <c r="U7" s="1570">
        <f t="shared" ref="U7:U14" si="1">H7</f>
        <v>0</v>
      </c>
      <c r="V7" s="1569" t="s">
        <v>8</v>
      </c>
      <c r="W7" s="1570">
        <f t="shared" ref="W7:W14" si="2">J7</f>
        <v>0</v>
      </c>
      <c r="X7" s="1571"/>
      <c r="Y7" s="3686" t="s">
        <v>531</v>
      </c>
      <c r="Z7" s="3687"/>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86" t="s">
        <v>534</v>
      </c>
      <c r="Q8" s="3687"/>
      <c r="R8" s="1569" t="s">
        <v>8</v>
      </c>
      <c r="S8" s="1570">
        <f t="shared" si="0"/>
        <v>0</v>
      </c>
      <c r="T8" s="1569" t="s">
        <v>8</v>
      </c>
      <c r="U8" s="1570">
        <f t="shared" si="1"/>
        <v>0</v>
      </c>
      <c r="V8" s="1569" t="s">
        <v>8</v>
      </c>
      <c r="W8" s="1570">
        <f t="shared" si="2"/>
        <v>0</v>
      </c>
      <c r="X8" s="1571"/>
      <c r="Y8" s="3686" t="s">
        <v>534</v>
      </c>
      <c r="Z8" s="3687"/>
      <c r="AA8" s="1572" t="e">
        <f t="shared" ref="AA8:AA34" si="3">D8/F8</f>
        <v>#DIV/0!</v>
      </c>
      <c r="AB8" s="1572" t="e">
        <f t="shared" ref="AB8:AB34" si="4">D8/H8</f>
        <v>#DIV/0!</v>
      </c>
      <c r="AC8" s="1572" t="e">
        <f t="shared" ref="AC8:AC34" si="5">D8/J8</f>
        <v>#DIV/0!</v>
      </c>
    </row>
    <row r="9" spans="1:29" s="1220" customFormat="1" ht="15">
      <c r="A9" s="2941"/>
      <c r="B9" s="2948" t="s">
        <v>2763</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55" t="s">
        <v>536</v>
      </c>
      <c r="Q9" s="1151" t="str">
        <f t="shared" ref="Q9:Q14" si="6">B9</f>
        <v>用途</v>
      </c>
      <c r="R9" s="1569" t="s">
        <v>8</v>
      </c>
      <c r="S9" s="1570">
        <f t="shared" si="0"/>
        <v>100</v>
      </c>
      <c r="T9" s="1569" t="s">
        <v>8</v>
      </c>
      <c r="U9" s="1570">
        <f t="shared" si="1"/>
        <v>100</v>
      </c>
      <c r="V9" s="1569" t="s">
        <v>8</v>
      </c>
      <c r="W9" s="1570">
        <f t="shared" si="2"/>
        <v>100</v>
      </c>
      <c r="X9" s="1571"/>
      <c r="Y9" s="3601"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55"/>
      <c r="Q10" s="1151" t="str">
        <f t="shared" si="6"/>
        <v>土地使用年限（年）</v>
      </c>
      <c r="R10" s="1569" t="s">
        <v>8</v>
      </c>
      <c r="S10" s="1570">
        <f t="shared" si="0"/>
        <v>100</v>
      </c>
      <c r="T10" s="1569" t="s">
        <v>8</v>
      </c>
      <c r="U10" s="1570">
        <f t="shared" si="1"/>
        <v>100</v>
      </c>
      <c r="V10" s="1569" t="s">
        <v>8</v>
      </c>
      <c r="W10" s="1570">
        <f t="shared" si="2"/>
        <v>100</v>
      </c>
      <c r="X10" s="1571"/>
      <c r="Y10" s="3601"/>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55"/>
      <c r="Q11" s="1151">
        <f t="shared" si="6"/>
        <v>111</v>
      </c>
      <c r="R11" s="1569" t="s">
        <v>8</v>
      </c>
      <c r="S11" s="1570">
        <f t="shared" si="0"/>
        <v>100</v>
      </c>
      <c r="T11" s="1569" t="s">
        <v>8</v>
      </c>
      <c r="U11" s="1570">
        <f t="shared" si="1"/>
        <v>100</v>
      </c>
      <c r="V11" s="1569" t="s">
        <v>8</v>
      </c>
      <c r="W11" s="1570">
        <f t="shared" si="2"/>
        <v>100</v>
      </c>
      <c r="X11" s="1571"/>
      <c r="Y11" s="3601"/>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55"/>
      <c r="Q12" s="1151">
        <f t="shared" si="6"/>
        <v>111</v>
      </c>
      <c r="R12" s="1569" t="s">
        <v>8</v>
      </c>
      <c r="S12" s="1570">
        <f t="shared" si="0"/>
        <v>100</v>
      </c>
      <c r="T12" s="1569" t="s">
        <v>8</v>
      </c>
      <c r="U12" s="1570">
        <f t="shared" si="1"/>
        <v>100</v>
      </c>
      <c r="V12" s="1569" t="s">
        <v>8</v>
      </c>
      <c r="W12" s="1570">
        <f t="shared" si="2"/>
        <v>100</v>
      </c>
      <c r="X12" s="1571"/>
      <c r="Y12" s="3601"/>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55"/>
      <c r="Q13" s="1151">
        <f t="shared" si="6"/>
        <v>111</v>
      </c>
      <c r="R13" s="1569" t="s">
        <v>8</v>
      </c>
      <c r="S13" s="1570">
        <f t="shared" si="0"/>
        <v>100</v>
      </c>
      <c r="T13" s="1569" t="s">
        <v>8</v>
      </c>
      <c r="U13" s="1570">
        <f t="shared" si="1"/>
        <v>100</v>
      </c>
      <c r="V13" s="1569" t="s">
        <v>8</v>
      </c>
      <c r="W13" s="1570">
        <f t="shared" si="2"/>
        <v>100</v>
      </c>
      <c r="X13" s="1571"/>
      <c r="Y13" s="3601"/>
      <c r="Z13" s="1150">
        <f t="shared" si="7"/>
        <v>111</v>
      </c>
      <c r="AA13" s="1572">
        <f t="shared" si="3"/>
        <v>1</v>
      </c>
      <c r="AB13" s="1572">
        <f t="shared" si="4"/>
        <v>1</v>
      </c>
      <c r="AC13" s="1572">
        <f t="shared" si="5"/>
        <v>1</v>
      </c>
    </row>
    <row r="14" spans="1:29" ht="85.5">
      <c r="A14" s="2937"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689" t="s">
        <v>541</v>
      </c>
      <c r="Q14" s="1573" t="str">
        <f t="shared" si="6"/>
        <v>交通便捷度</v>
      </c>
      <c r="R14" s="1574" t="s">
        <v>8</v>
      </c>
      <c r="S14" s="1575">
        <f t="shared" si="0"/>
        <v>100</v>
      </c>
      <c r="T14" s="1574" t="s">
        <v>8</v>
      </c>
      <c r="U14" s="1575">
        <f t="shared" si="1"/>
        <v>100</v>
      </c>
      <c r="V14" s="1574" t="s">
        <v>8</v>
      </c>
      <c r="W14" s="1575">
        <f t="shared" si="2"/>
        <v>100</v>
      </c>
      <c r="X14" s="1568"/>
      <c r="Y14" s="3689"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690"/>
      <c r="Q15" s="1573"/>
      <c r="R15" s="1574"/>
      <c r="S15" s="1575"/>
      <c r="T15" s="1574"/>
      <c r="U15" s="1575"/>
      <c r="V15" s="1574"/>
      <c r="W15" s="1575"/>
      <c r="X15" s="1568"/>
      <c r="Y15" s="3690"/>
      <c r="Z15" s="1576"/>
      <c r="AA15" s="1577">
        <v>1</v>
      </c>
      <c r="AB15" s="1577">
        <v>1</v>
      </c>
      <c r="AC15" s="1577">
        <v>1</v>
      </c>
    </row>
    <row r="16" spans="1:29" ht="42.75">
      <c r="A16" s="532"/>
      <c r="B16" s="2629"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690"/>
      <c r="Q16" s="1573" t="str">
        <f>B16</f>
        <v>公共配套设施</v>
      </c>
      <c r="R16" s="1574" t="s">
        <v>8</v>
      </c>
      <c r="S16" s="1575">
        <f>F16</f>
        <v>100</v>
      </c>
      <c r="T16" s="1574" t="s">
        <v>8</v>
      </c>
      <c r="U16" s="1575">
        <f>H16</f>
        <v>100</v>
      </c>
      <c r="V16" s="1574" t="s">
        <v>8</v>
      </c>
      <c r="W16" s="1575">
        <f>J16</f>
        <v>100</v>
      </c>
      <c r="X16" s="1568"/>
      <c r="Y16" s="369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690"/>
      <c r="Q17" s="1573"/>
      <c r="R17" s="1574"/>
      <c r="S17" s="1575"/>
      <c r="T17" s="1574"/>
      <c r="U17" s="1575"/>
      <c r="V17" s="1574"/>
      <c r="W17" s="1575"/>
      <c r="X17" s="1568"/>
      <c r="Y17" s="3690"/>
      <c r="Z17" s="1576"/>
      <c r="AA17" s="1577">
        <v>1</v>
      </c>
      <c r="AB17" s="1577">
        <v>1</v>
      </c>
      <c r="AC17" s="1577">
        <v>1</v>
      </c>
    </row>
    <row r="18" spans="1:29" ht="28.5">
      <c r="A18" s="532"/>
      <c r="B18" s="2617"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690"/>
      <c r="Q18" s="2605" t="str">
        <f>B18</f>
        <v>基础设施水平</v>
      </c>
      <c r="R18" s="1574" t="s">
        <v>8</v>
      </c>
      <c r="S18" s="1575">
        <f>F18</f>
        <v>100</v>
      </c>
      <c r="T18" s="1574" t="s">
        <v>8</v>
      </c>
      <c r="U18" s="1575">
        <f>H18</f>
        <v>100</v>
      </c>
      <c r="V18" s="1574" t="s">
        <v>8</v>
      </c>
      <c r="W18" s="1575">
        <f>J18</f>
        <v>100</v>
      </c>
      <c r="X18" s="2607"/>
      <c r="Y18" s="3690"/>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690"/>
      <c r="Q19" s="2605"/>
      <c r="R19" s="1574"/>
      <c r="S19" s="1575"/>
      <c r="T19" s="1574"/>
      <c r="U19" s="1575"/>
      <c r="V19" s="1574"/>
      <c r="W19" s="1575"/>
      <c r="X19" s="2607"/>
      <c r="Y19" s="3690"/>
      <c r="Z19" s="2606"/>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690"/>
      <c r="Q20" s="1573" t="str">
        <f>B20</f>
        <v>自然及人文环境</v>
      </c>
      <c r="R20" s="1574" t="s">
        <v>8</v>
      </c>
      <c r="S20" s="1575">
        <f>F20</f>
        <v>100</v>
      </c>
      <c r="T20" s="1574" t="s">
        <v>8</v>
      </c>
      <c r="U20" s="1575">
        <f>H20</f>
        <v>100</v>
      </c>
      <c r="V20" s="1574" t="s">
        <v>8</v>
      </c>
      <c r="W20" s="1575">
        <f>J20</f>
        <v>100</v>
      </c>
      <c r="X20" s="1568"/>
      <c r="Y20" s="369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690"/>
      <c r="Q21" s="1573"/>
      <c r="R21" s="1574"/>
      <c r="S21" s="1575"/>
      <c r="T21" s="1574"/>
      <c r="U21" s="1575"/>
      <c r="V21" s="1574"/>
      <c r="W21" s="1575"/>
      <c r="X21" s="1568"/>
      <c r="Y21" s="3690"/>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690"/>
      <c r="Q22" s="1573" t="str">
        <f>B22</f>
        <v>楼层</v>
      </c>
      <c r="R22" s="1574" t="s">
        <v>8</v>
      </c>
      <c r="S22" s="1575">
        <f>F22</f>
        <v>100</v>
      </c>
      <c r="T22" s="1574" t="s">
        <v>8</v>
      </c>
      <c r="U22" s="1575">
        <f>H22</f>
        <v>100</v>
      </c>
      <c r="V22" s="1574" t="s">
        <v>8</v>
      </c>
      <c r="W22" s="1575">
        <f>J22</f>
        <v>100</v>
      </c>
      <c r="X22" s="1568"/>
      <c r="Y22" s="369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690"/>
      <c r="Q23" s="1573">
        <f>B23</f>
        <v>111</v>
      </c>
      <c r="R23" s="1574" t="s">
        <v>8</v>
      </c>
      <c r="S23" s="1575">
        <f>F23</f>
        <v>100</v>
      </c>
      <c r="T23" s="1574" t="s">
        <v>8</v>
      </c>
      <c r="U23" s="1575">
        <f>H23</f>
        <v>100</v>
      </c>
      <c r="V23" s="1574" t="s">
        <v>8</v>
      </c>
      <c r="W23" s="1575">
        <f>J23</f>
        <v>100</v>
      </c>
      <c r="X23" s="1568"/>
      <c r="Y23" s="369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690"/>
      <c r="Q24" s="1573">
        <f t="shared" ref="Q24:Q34" si="11">B24</f>
        <v>111</v>
      </c>
      <c r="R24" s="1574" t="s">
        <v>8</v>
      </c>
      <c r="S24" s="1575">
        <f>F24</f>
        <v>100</v>
      </c>
      <c r="T24" s="1574" t="s">
        <v>8</v>
      </c>
      <c r="U24" s="1575">
        <f>H24</f>
        <v>100</v>
      </c>
      <c r="V24" s="1574" t="s">
        <v>8</v>
      </c>
      <c r="W24" s="1575">
        <f>J24</f>
        <v>100</v>
      </c>
      <c r="X24" s="1568"/>
      <c r="Y24" s="369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690"/>
      <c r="Q25" s="1151">
        <f t="shared" si="11"/>
        <v>111</v>
      </c>
      <c r="R25" s="1569" t="s">
        <v>8</v>
      </c>
      <c r="S25" s="1570">
        <f>F25</f>
        <v>100</v>
      </c>
      <c r="T25" s="1569" t="s">
        <v>8</v>
      </c>
      <c r="U25" s="1570">
        <f>H25</f>
        <v>100</v>
      </c>
      <c r="V25" s="1569" t="s">
        <v>8</v>
      </c>
      <c r="W25" s="1570">
        <f>J25</f>
        <v>100</v>
      </c>
      <c r="X25" s="1571"/>
      <c r="Y25" s="3690"/>
      <c r="Z25" s="1150">
        <f>Q25</f>
        <v>111</v>
      </c>
      <c r="AA25" s="1577">
        <f>D25/F25</f>
        <v>1</v>
      </c>
      <c r="AB25" s="1577">
        <f>D25/H25</f>
        <v>1</v>
      </c>
      <c r="AC25" s="1577">
        <f>D25/J25</f>
        <v>1</v>
      </c>
    </row>
    <row r="26" spans="1:29" ht="15">
      <c r="A26" s="2934"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691"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92"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692"/>
      <c r="Q27" s="1606" t="str">
        <f t="shared" si="11"/>
        <v>成新率</v>
      </c>
      <c r="R27" s="1578" t="s">
        <v>8</v>
      </c>
      <c r="S27" s="1579" t="e">
        <f t="shared" si="12"/>
        <v>#N/A</v>
      </c>
      <c r="T27" s="1578" t="s">
        <v>8</v>
      </c>
      <c r="U27" s="1579" t="e">
        <f t="shared" si="13"/>
        <v>#N/A</v>
      </c>
      <c r="V27" s="1578" t="s">
        <v>8</v>
      </c>
      <c r="W27" s="1579" t="e">
        <f t="shared" si="14"/>
        <v>#N/A</v>
      </c>
      <c r="X27" s="1580"/>
      <c r="Y27" s="3692"/>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692"/>
      <c r="Q28" s="1573" t="str">
        <f t="shared" si="11"/>
        <v>物业等级</v>
      </c>
      <c r="R28" s="1574" t="s">
        <v>8</v>
      </c>
      <c r="S28" s="1575">
        <f t="shared" si="12"/>
        <v>100</v>
      </c>
      <c r="T28" s="1574" t="s">
        <v>8</v>
      </c>
      <c r="U28" s="1575">
        <f t="shared" si="13"/>
        <v>100</v>
      </c>
      <c r="V28" s="1574" t="s">
        <v>8</v>
      </c>
      <c r="W28" s="1575">
        <f t="shared" si="14"/>
        <v>100</v>
      </c>
      <c r="X28" s="1568"/>
      <c r="Y28" s="3692"/>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692"/>
      <c r="Q29" s="1573" t="str">
        <f t="shared" si="11"/>
        <v>有无电梯</v>
      </c>
      <c r="R29" s="1574" t="s">
        <v>8</v>
      </c>
      <c r="S29" s="1575">
        <f t="shared" si="12"/>
        <v>100</v>
      </c>
      <c r="T29" s="1574" t="s">
        <v>8</v>
      </c>
      <c r="U29" s="1575">
        <f t="shared" si="13"/>
        <v>100</v>
      </c>
      <c r="V29" s="1574" t="s">
        <v>8</v>
      </c>
      <c r="W29" s="1575">
        <f t="shared" si="14"/>
        <v>100</v>
      </c>
      <c r="X29" s="1568"/>
      <c r="Y29" s="3692"/>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692"/>
      <c r="Q30" s="1573" t="str">
        <f t="shared" si="11"/>
        <v>建筑面积</v>
      </c>
      <c r="R30" s="1574" t="s">
        <v>8</v>
      </c>
      <c r="S30" s="1575" t="e">
        <f t="shared" si="12"/>
        <v>#N/A</v>
      </c>
      <c r="T30" s="1574" t="s">
        <v>8</v>
      </c>
      <c r="U30" s="1575" t="e">
        <f t="shared" si="13"/>
        <v>#N/A</v>
      </c>
      <c r="V30" s="1574" t="s">
        <v>8</v>
      </c>
      <c r="W30" s="1575" t="e">
        <f t="shared" si="14"/>
        <v>#N/A</v>
      </c>
      <c r="X30" s="1568"/>
      <c r="Y30" s="3692"/>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692"/>
      <c r="Q31" s="1151" t="str">
        <f t="shared" si="11"/>
        <v>是否封闭</v>
      </c>
      <c r="R31" s="1569" t="s">
        <v>8</v>
      </c>
      <c r="S31" s="1570">
        <f t="shared" si="12"/>
        <v>100</v>
      </c>
      <c r="T31" s="1569" t="s">
        <v>8</v>
      </c>
      <c r="U31" s="1570">
        <f t="shared" si="13"/>
        <v>100</v>
      </c>
      <c r="V31" s="1569" t="s">
        <v>8</v>
      </c>
      <c r="W31" s="1570">
        <f t="shared" si="14"/>
        <v>100</v>
      </c>
      <c r="X31" s="1571"/>
      <c r="Y31" s="369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692" t="s">
        <v>551</v>
      </c>
      <c r="Q32" s="1573">
        <f t="shared" si="11"/>
        <v>111</v>
      </c>
      <c r="R32" s="1574" t="s">
        <v>8</v>
      </c>
      <c r="S32" s="1575">
        <f t="shared" si="12"/>
        <v>100</v>
      </c>
      <c r="T32" s="1574" t="s">
        <v>8</v>
      </c>
      <c r="U32" s="1575">
        <f t="shared" si="13"/>
        <v>100</v>
      </c>
      <c r="V32" s="1574" t="s">
        <v>8</v>
      </c>
      <c r="W32" s="1575">
        <f t="shared" si="14"/>
        <v>100</v>
      </c>
      <c r="X32" s="1568"/>
      <c r="Y32" s="3692"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692"/>
      <c r="Q33" s="1573">
        <f t="shared" si="11"/>
        <v>111</v>
      </c>
      <c r="R33" s="1574" t="s">
        <v>8</v>
      </c>
      <c r="S33" s="1575">
        <f t="shared" si="12"/>
        <v>100</v>
      </c>
      <c r="T33" s="1574" t="s">
        <v>8</v>
      </c>
      <c r="U33" s="1575">
        <f t="shared" si="13"/>
        <v>100</v>
      </c>
      <c r="V33" s="1574" t="s">
        <v>8</v>
      </c>
      <c r="W33" s="1575">
        <f t="shared" si="14"/>
        <v>100</v>
      </c>
      <c r="X33" s="1568"/>
      <c r="Y33" s="369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692"/>
      <c r="Q34" s="1573">
        <f t="shared" si="11"/>
        <v>111</v>
      </c>
      <c r="R34" s="1574" t="s">
        <v>8</v>
      </c>
      <c r="S34" s="1575">
        <f t="shared" si="12"/>
        <v>100</v>
      </c>
      <c r="T34" s="1574" t="s">
        <v>8</v>
      </c>
      <c r="U34" s="1575">
        <f t="shared" si="13"/>
        <v>100</v>
      </c>
      <c r="V34" s="1574" t="s">
        <v>8</v>
      </c>
      <c r="W34" s="1575">
        <f t="shared" si="14"/>
        <v>100</v>
      </c>
      <c r="X34" s="1568"/>
      <c r="Y34" s="3692"/>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655" t="str">
        <f>A35</f>
        <v>成交单价（元/平方米）</v>
      </c>
      <c r="Q35" s="3655"/>
      <c r="R35" s="3768">
        <f>E35</f>
        <v>0</v>
      </c>
      <c r="S35" s="3768"/>
      <c r="T35" s="3768">
        <f>G35</f>
        <v>0</v>
      </c>
      <c r="U35" s="3768"/>
      <c r="V35" s="3768">
        <f>I35</f>
        <v>0</v>
      </c>
      <c r="W35" s="3768"/>
      <c r="X35" s="1560"/>
      <c r="Y35" s="1582"/>
      <c r="Z35" s="1560"/>
      <c r="AA35" s="1560"/>
      <c r="AB35" s="1560"/>
      <c r="AC35" s="1560"/>
    </row>
    <row r="36" spans="1:29" ht="15.75" thickBot="1">
      <c r="A36" s="615" t="s">
        <v>2767</v>
      </c>
      <c r="B36" s="888"/>
      <c r="C36" s="2659" t="e">
        <f>R37</f>
        <v>#DIV/0!</v>
      </c>
      <c r="D36" s="2660"/>
      <c r="E36" s="2661" t="e">
        <f>R36</f>
        <v>#DIV/0!</v>
      </c>
      <c r="F36" s="2661"/>
      <c r="G36" s="2659" t="e">
        <f>T36</f>
        <v>#DIV/0!</v>
      </c>
      <c r="H36" s="2660"/>
      <c r="I36" s="2661" t="e">
        <f>V36</f>
        <v>#DIV/0!</v>
      </c>
      <c r="J36" s="2660"/>
      <c r="K36" s="1613"/>
      <c r="L36" s="2146"/>
      <c r="M36" s="2147"/>
      <c r="N36" s="2136"/>
      <c r="O36" s="2147"/>
      <c r="P36" s="3655" t="str">
        <f>A36</f>
        <v>比较价格（元/平方米）</v>
      </c>
      <c r="Q36" s="3655"/>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1560"/>
      <c r="Y36" s="1560"/>
      <c r="Z36" s="1560"/>
      <c r="AA36" s="1560"/>
      <c r="AB36" s="1560"/>
      <c r="AC36" s="1560"/>
    </row>
    <row r="37" spans="1:29" ht="15.75" thickBot="1">
      <c r="A37" s="621" t="s">
        <v>2944</v>
      </c>
      <c r="B37" s="622"/>
      <c r="C37" s="2662" t="e">
        <f>R37</f>
        <v>#DIV/0!</v>
      </c>
      <c r="D37" s="2662"/>
      <c r="E37" s="2662"/>
      <c r="F37" s="2662"/>
      <c r="G37" s="2662"/>
      <c r="H37" s="2662"/>
      <c r="I37" s="2662"/>
      <c r="J37" s="2662"/>
      <c r="K37" s="1614"/>
      <c r="L37" s="2146"/>
      <c r="M37" s="2147"/>
      <c r="N37" s="2147"/>
      <c r="O37" s="2147"/>
      <c r="P37" s="3652" t="str">
        <f>A37</f>
        <v>估价对象XX用房的比较价格（楼面单价，元/平方米）</v>
      </c>
      <c r="Q37" s="3653"/>
      <c r="R37" s="3767" t="e">
        <f>IF(F1="售价",ROUND(AVERAGE(R36:V36),0),ROUND(AVERAGE(R36:V36),1))</f>
        <v>#DIV/0!</v>
      </c>
      <c r="S37" s="3767"/>
      <c r="T37" s="3767"/>
      <c r="U37" s="3767"/>
      <c r="V37" s="3767"/>
      <c r="W37" s="376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2565</v>
      </c>
      <c r="C65" s="2624" t="s">
        <v>2566</v>
      </c>
      <c r="D65" s="2624" t="s">
        <v>2567</v>
      </c>
      <c r="E65" s="2624" t="s">
        <v>2568</v>
      </c>
      <c r="F65" s="2624" t="s">
        <v>2569</v>
      </c>
      <c r="G65" s="2624" t="s">
        <v>2570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777" t="s">
        <v>2308</v>
      </c>
      <c r="D1" s="3778"/>
      <c r="E1" s="3778"/>
      <c r="F1" s="3778"/>
      <c r="G1" s="3778"/>
      <c r="H1" s="3778"/>
      <c r="I1" s="3778"/>
      <c r="J1" s="3778"/>
      <c r="K1" s="3778"/>
      <c r="L1" s="3778"/>
      <c r="M1" s="3778"/>
      <c r="N1" s="3778"/>
      <c r="O1" s="3778"/>
      <c r="P1" s="3778"/>
      <c r="Q1" s="3778"/>
      <c r="R1" s="3778"/>
      <c r="S1" s="3779"/>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2937</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2936</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2935</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2950</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2934</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2933</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774" t="s">
        <v>20</v>
      </c>
      <c r="D22" s="3775"/>
      <c r="E22" s="3775"/>
      <c r="F22" s="3775"/>
      <c r="G22" s="3775"/>
      <c r="H22" s="3775"/>
      <c r="I22" s="3775"/>
      <c r="J22" s="3775"/>
      <c r="K22" s="3775"/>
      <c r="L22" s="3775"/>
      <c r="M22" s="3775"/>
      <c r="N22" s="3775"/>
      <c r="O22" s="3775"/>
      <c r="P22" s="3775"/>
      <c r="Q22" s="3776"/>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2795</v>
      </c>
      <c r="C1" s="3031">
        <f>项目基本情况!D3</f>
        <v>43174</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2826</v>
      </c>
      <c r="C2" s="3032">
        <f>'数据-取费表'!B22</f>
        <v>2</v>
      </c>
      <c r="D2" s="3027" t="s">
        <v>2796</v>
      </c>
      <c r="E2" s="3030">
        <f ca="1">INDIRECT("I"&amp;$I$1)/100</f>
        <v>4.7500000000000001E-2</v>
      </c>
      <c r="G2" s="2967"/>
      <c r="H2" s="2967"/>
      <c r="I2" s="2967" t="s">
        <v>2797</v>
      </c>
      <c r="K2" s="2967"/>
      <c r="L2" s="2967"/>
      <c r="M2" s="2967"/>
      <c r="N2" s="2967" t="s">
        <v>2798</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2828</v>
      </c>
      <c r="C3" s="3029">
        <f>'数据-取费表'!B19</f>
        <v>0</v>
      </c>
      <c r="D3" s="3027" t="s">
        <v>2796</v>
      </c>
      <c r="E3" s="3030">
        <f ca="1">INDIRECT("J"&amp;$J$1)/100</f>
        <v>0</v>
      </c>
      <c r="G3" s="2969" t="s">
        <v>2799</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2827</v>
      </c>
      <c r="C4" s="3030">
        <f ca="1">N4/100</f>
        <v>1.4999999999999999E-2</v>
      </c>
      <c r="G4" s="2975" t="s">
        <v>2800</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2801</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2802</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2803</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2804</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2805</v>
      </c>
      <c r="C10" s="2994"/>
      <c r="D10" s="2994"/>
      <c r="E10" s="2994"/>
      <c r="F10" s="2994"/>
      <c r="G10" s="2994"/>
      <c r="H10" s="2994"/>
      <c r="I10" s="2968"/>
      <c r="J10" s="2968"/>
      <c r="K10" s="2994"/>
      <c r="L10" s="2995" t="s">
        <v>2806</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2807</v>
      </c>
      <c r="C11" s="2999" t="s">
        <v>2808</v>
      </c>
      <c r="D11" s="3000" t="s">
        <v>2809</v>
      </c>
      <c r="E11" s="3001"/>
      <c r="F11" s="3000" t="s">
        <v>2810</v>
      </c>
      <c r="G11" s="3002"/>
      <c r="H11" s="3001"/>
      <c r="I11" s="3000" t="s">
        <v>2811</v>
      </c>
      <c r="J11" s="3001"/>
      <c r="K11" s="2997"/>
      <c r="L11" s="2998" t="s">
        <v>2807</v>
      </c>
      <c r="M11" s="2999" t="s">
        <v>2808</v>
      </c>
      <c r="N11" s="2998" t="s">
        <v>2812</v>
      </c>
      <c r="O11" s="3000" t="s">
        <v>2813</v>
      </c>
      <c r="P11" s="3002"/>
      <c r="Q11" s="3002"/>
      <c r="R11" s="3002"/>
      <c r="S11" s="3002"/>
      <c r="T11" s="3001"/>
      <c r="U11" s="3000" t="s">
        <v>2814</v>
      </c>
      <c r="V11" s="3002"/>
      <c r="W11" s="3001"/>
      <c r="X11" s="2998" t="s">
        <v>2815</v>
      </c>
      <c r="Y11" s="2998" t="s">
        <v>2816</v>
      </c>
      <c r="Z11" s="2998" t="s">
        <v>2817</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2818</v>
      </c>
      <c r="E12" s="3007" t="s">
        <v>2819</v>
      </c>
      <c r="F12" s="3007" t="s">
        <v>2820</v>
      </c>
      <c r="G12" s="3007" t="s">
        <v>2821</v>
      </c>
      <c r="H12" s="3007" t="s">
        <v>2803</v>
      </c>
      <c r="I12" s="3008" t="s">
        <v>2822</v>
      </c>
      <c r="J12" s="3008" t="s">
        <v>2822</v>
      </c>
      <c r="K12" s="3004"/>
      <c r="L12" s="3005"/>
      <c r="M12" s="3006"/>
      <c r="N12" s="3005"/>
      <c r="O12" s="3008" t="s">
        <v>2823</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2824</v>
      </c>
      <c r="C13" s="3012">
        <v>42301</v>
      </c>
      <c r="D13" s="3013">
        <v>4.3499999999999996</v>
      </c>
      <c r="E13" s="3013">
        <v>4.3499999999999996</v>
      </c>
      <c r="F13" s="3013">
        <v>4.75</v>
      </c>
      <c r="G13" s="3013">
        <v>4.75</v>
      </c>
      <c r="H13" s="3013">
        <v>4.9000000000000004</v>
      </c>
      <c r="I13" s="3013">
        <v>2.75</v>
      </c>
      <c r="J13" s="3013">
        <v>3.25</v>
      </c>
      <c r="K13" s="3010"/>
      <c r="L13" s="3011" t="s">
        <v>2824</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2825</v>
      </c>
      <c r="Y42" s="3017" t="s">
        <v>2825</v>
      </c>
      <c r="Z42" s="3017" t="s">
        <v>2825</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2825</v>
      </c>
      <c r="Y43" s="3017" t="s">
        <v>2825</v>
      </c>
      <c r="Z43" s="3017" t="s">
        <v>2825</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2825</v>
      </c>
      <c r="Y44" s="3017" t="s">
        <v>2825</v>
      </c>
      <c r="Z44" s="3017" t="s">
        <v>2825</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2825</v>
      </c>
      <c r="Y45" s="3017" t="s">
        <v>2825</v>
      </c>
      <c r="Z45" s="3017" t="s">
        <v>2825</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2825</v>
      </c>
      <c r="Y46" s="3017" t="s">
        <v>2825</v>
      </c>
      <c r="Z46" s="3017" t="s">
        <v>2825</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2825</v>
      </c>
      <c r="Y47" s="3017" t="s">
        <v>2825</v>
      </c>
      <c r="Z47" s="3017" t="s">
        <v>2825</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2825</v>
      </c>
      <c r="Y48" s="3017" t="s">
        <v>2825</v>
      </c>
      <c r="Z48" s="3017" t="s">
        <v>2825</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2825</v>
      </c>
      <c r="Y49" s="3017" t="s">
        <v>2825</v>
      </c>
      <c r="Z49" s="3017" t="s">
        <v>2825</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2825</v>
      </c>
      <c r="Y50" s="3017" t="s">
        <v>2825</v>
      </c>
      <c r="Z50" s="3017" t="s">
        <v>2825</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2825</v>
      </c>
      <c r="V51" s="3017" t="s">
        <v>2825</v>
      </c>
      <c r="W51" s="3017" t="s">
        <v>2825</v>
      </c>
      <c r="X51" s="3017" t="s">
        <v>2825</v>
      </c>
      <c r="Y51" s="3017" t="s">
        <v>2825</v>
      </c>
      <c r="Z51" s="3017" t="s">
        <v>2825</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2825</v>
      </c>
      <c r="J55" s="3017" t="s">
        <v>2825</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72735平方米。根据《建设工程规划许可证》[]、《出让合同》[]，估价对象规划建筑面积为87282平方米。</v>
      </c>
    </row>
    <row r="7" spans="1:4" ht="93.75">
      <c r="A7" s="2900" t="s">
        <v>2755</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2018年3月15日（评估专业人员勘察现场之日）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根据《国有土地使用证》[]，估价对象（分摊）出让国有建设用地使用权面积为72735平方米。根据《建设工程规划许可证》[]、《出让合同》[]，估价对象规划建筑面积为87282平方米。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2" t="s">
        <v>2756</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3月15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2" t="s">
        <v>2042</v>
      </c>
      <c r="B1" s="3492"/>
      <c r="C1" s="3492"/>
      <c r="D1" s="3492"/>
      <c r="E1" s="3492"/>
      <c r="F1" s="3492"/>
      <c r="G1" s="3492"/>
      <c r="H1" s="3492"/>
      <c r="I1" s="3492"/>
      <c r="J1" s="3492"/>
      <c r="K1" s="3492"/>
      <c r="L1" s="3492"/>
      <c r="M1" s="3492"/>
      <c r="N1" s="3492"/>
      <c r="O1" s="3492"/>
      <c r="P1" s="3492"/>
      <c r="Q1" s="3492"/>
      <c r="R1" s="3492"/>
    </row>
    <row r="2" spans="1:18">
      <c r="A2" s="1809" t="s">
        <v>2044</v>
      </c>
      <c r="B2" s="1809"/>
      <c r="C2" s="1809"/>
      <c r="D2" s="1809"/>
      <c r="E2" s="1809"/>
      <c r="F2" s="1809"/>
      <c r="G2" s="1809"/>
      <c r="H2" s="1809"/>
      <c r="I2" s="1810"/>
      <c r="J2" s="1810"/>
      <c r="K2" s="1811" t="str">
        <f>"估价期日："&amp;TEXT(项目基本情况!D3,"yyyy年m月d日;;")</f>
        <v>估价期日：2018年3月15日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493" t="s">
        <v>2033</v>
      </c>
      <c r="B3" s="3493" t="s">
        <v>2738</v>
      </c>
      <c r="C3" s="3494" t="s">
        <v>2034</v>
      </c>
      <c r="D3" s="3493" t="s">
        <v>2742</v>
      </c>
      <c r="E3" s="3488" t="s">
        <v>2035</v>
      </c>
      <c r="F3" s="3488"/>
      <c r="G3" s="3488"/>
      <c r="H3" s="3488" t="s">
        <v>2036</v>
      </c>
      <c r="I3" s="3488"/>
      <c r="J3" s="3488"/>
      <c r="K3" s="3494" t="s">
        <v>2037</v>
      </c>
      <c r="L3" s="3494" t="s">
        <v>2038</v>
      </c>
      <c r="M3" s="3493" t="s">
        <v>2739</v>
      </c>
      <c r="N3" s="3495" t="str">
        <f>"（分摊）"&amp;项目基本情况!B16&amp;"国有建设用地使用权面积/㎡"</f>
        <v>（分摊）出让国有建设用地使用权面积/㎡</v>
      </c>
      <c r="O3" s="3493" t="s">
        <v>2067</v>
      </c>
      <c r="P3" s="3494" t="s">
        <v>2047</v>
      </c>
      <c r="Q3" s="3494" t="s">
        <v>2068</v>
      </c>
      <c r="R3" s="3494" t="s">
        <v>2039</v>
      </c>
    </row>
    <row r="4" spans="1:18" ht="36.75" customHeight="1">
      <c r="A4" s="3493"/>
      <c r="B4" s="3493"/>
      <c r="C4" s="3494"/>
      <c r="D4" s="3493"/>
      <c r="E4" s="2676" t="s">
        <v>2046</v>
      </c>
      <c r="F4" s="2676" t="s">
        <v>2751</v>
      </c>
      <c r="G4" s="2676" t="s">
        <v>2040</v>
      </c>
      <c r="H4" s="2676" t="s">
        <v>2041</v>
      </c>
      <c r="I4" s="2676" t="s">
        <v>2752</v>
      </c>
      <c r="J4" s="2676" t="s">
        <v>2040</v>
      </c>
      <c r="K4" s="3494"/>
      <c r="L4" s="3494"/>
      <c r="M4" s="3493"/>
      <c r="N4" s="3495"/>
      <c r="O4" s="3493"/>
      <c r="P4" s="3494"/>
      <c r="Q4" s="3494"/>
      <c r="R4" s="3494"/>
    </row>
    <row r="5" spans="1:18" ht="135" customHeight="1">
      <c r="A5" s="1945" t="s">
        <v>2662</v>
      </c>
      <c r="B5" s="2894" t="s">
        <v>2660</v>
      </c>
      <c r="C5" s="2675">
        <v>22</v>
      </c>
      <c r="D5" s="2674" t="s">
        <v>2661</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72735</v>
      </c>
      <c r="O5" s="1812">
        <f>项目基本情况!C21</f>
        <v>87282</v>
      </c>
      <c r="P5" s="1812">
        <f ca="1">结果表!E42</f>
        <v>19335</v>
      </c>
      <c r="Q5" s="1812">
        <f ca="1">结果表!D42</f>
        <v>16112</v>
      </c>
      <c r="R5" s="1813">
        <f ca="1">结果表!C42</f>
        <v>140630</v>
      </c>
    </row>
    <row r="6" spans="1:18">
      <c r="A6" s="3489" t="str">
        <f>IF(项目基本情况!B9="市场价格","——","抵押价格")</f>
        <v>抵押价格</v>
      </c>
      <c r="B6" s="3490"/>
      <c r="C6" s="3490"/>
      <c r="D6" s="3490"/>
      <c r="E6" s="3490"/>
      <c r="F6" s="3490"/>
      <c r="G6" s="3490"/>
      <c r="H6" s="3490"/>
      <c r="I6" s="3490"/>
      <c r="J6" s="3490"/>
      <c r="K6" s="3490"/>
      <c r="L6" s="3490"/>
      <c r="M6" s="3490"/>
      <c r="N6" s="3490"/>
      <c r="O6" s="3490"/>
      <c r="P6" s="3490"/>
      <c r="Q6" s="3491"/>
      <c r="R6" s="1814">
        <f ca="1">结果表!O39</f>
        <v>140630</v>
      </c>
    </row>
    <row r="7" spans="1:18">
      <c r="A7" s="3489" t="str">
        <f>IF(项目基本情况!B9="市场价格","——",IF(项目基本情况!E8="已注销及未注销","抵押担保权已注销时的抵押价格","——"))</f>
        <v>——</v>
      </c>
      <c r="B7" s="3490"/>
      <c r="C7" s="3490"/>
      <c r="D7" s="3490"/>
      <c r="E7" s="3490"/>
      <c r="F7" s="3490"/>
      <c r="G7" s="3490"/>
      <c r="H7" s="3490"/>
      <c r="I7" s="3490"/>
      <c r="J7" s="3490"/>
      <c r="K7" s="3490"/>
      <c r="L7" s="3490"/>
      <c r="M7" s="3490"/>
      <c r="N7" s="3490"/>
      <c r="O7" s="3490"/>
      <c r="P7" s="3490"/>
      <c r="Q7" s="3491"/>
      <c r="R7" s="1814" t="str">
        <f>结果表!O40</f>
        <v>——</v>
      </c>
    </row>
    <row r="8" spans="1:18">
      <c r="A8" s="3489" t="str">
        <f>IF(项目基本情况!B9="市场价格","——",项目基本情况!E9)</f>
        <v>——</v>
      </c>
      <c r="B8" s="3490"/>
      <c r="C8" s="3490"/>
      <c r="D8" s="3490"/>
      <c r="E8" s="3490"/>
      <c r="F8" s="3490"/>
      <c r="G8" s="3490"/>
      <c r="H8" s="3490"/>
      <c r="I8" s="3490"/>
      <c r="J8" s="3490"/>
      <c r="K8" s="3490"/>
      <c r="L8" s="3490"/>
      <c r="M8" s="3490"/>
      <c r="N8" s="3490"/>
      <c r="O8" s="3490"/>
      <c r="P8" s="3490"/>
      <c r="Q8" s="3491"/>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497" t="s">
        <v>2069</v>
      </c>
      <c r="B1" s="3497"/>
      <c r="C1" s="3497"/>
      <c r="D1" s="3497"/>
    </row>
    <row r="2" spans="1:4" ht="47.25" customHeight="1">
      <c r="A2" s="3498" t="str">
        <f>"1.权利限制："&amp;项目基本情况!L24&amp;"未设定租赁等其他他项权利。"</f>
        <v>1.权利限制：根据估价对象《不动产权证书》原件、《国有土地使用权》复印件，截至估价期日，估价对象抵押权未见登记。未设定租赁等其他他项权利。</v>
      </c>
      <c r="B2" s="3498"/>
      <c r="C2" s="3498"/>
      <c r="D2" s="3498"/>
    </row>
    <row r="3" spans="1:4" ht="48" customHeight="1">
      <c r="A3" s="34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7"/>
      <c r="C3" s="3497"/>
      <c r="D3" s="3497"/>
    </row>
    <row r="4" spans="1:4" ht="36.75" customHeight="1">
      <c r="A4" s="3497" t="str">
        <f>"3.估价规划限制条件：详见"&amp;项目基本情况!E21&amp;"。"</f>
        <v>3.估价规划限制条件：详见《建设工程规划许可证》[]、《出让合同》[]。</v>
      </c>
      <c r="B4" s="3497"/>
      <c r="C4" s="3497"/>
      <c r="D4" s="3497"/>
    </row>
    <row r="5" spans="1:4">
      <c r="A5" s="3496" t="s">
        <v>2070</v>
      </c>
      <c r="B5" s="3496"/>
      <c r="C5" s="3496"/>
      <c r="D5" s="3496"/>
    </row>
    <row r="6" spans="1:4">
      <c r="A6" s="3497" t="s">
        <v>2048</v>
      </c>
      <c r="B6" s="3497"/>
      <c r="C6" s="3497"/>
      <c r="D6" s="3497"/>
    </row>
    <row r="7" spans="1:4" ht="33" customHeight="1">
      <c r="A7" s="3497" t="s">
        <v>2582</v>
      </c>
      <c r="B7" s="3497"/>
      <c r="C7" s="3497"/>
      <c r="D7" s="3497"/>
    </row>
    <row r="8" spans="1:4" ht="32.25" customHeight="1">
      <c r="A8" s="34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7"/>
      <c r="C8" s="3497"/>
      <c r="D8" s="3497"/>
    </row>
    <row r="9" spans="1:4" ht="33.75" customHeight="1">
      <c r="A9" s="34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7"/>
      <c r="C9" s="3497"/>
      <c r="D9" s="3497"/>
    </row>
    <row r="10" spans="1:4">
      <c r="A10" s="3497" t="str">
        <f>IF(项目基本情况!B8="抵押","4.估价师所知悉的法定优先受偿款情况为：","——")</f>
        <v>4.估价师所知悉的法定优先受偿款情况为：</v>
      </c>
      <c r="B10" s="3497"/>
      <c r="C10" s="3497"/>
      <c r="D10" s="3497"/>
    </row>
    <row r="11" spans="1:4" ht="37.5" customHeight="1">
      <c r="A11" s="349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9"/>
      <c r="C11" s="3499"/>
      <c r="D11" s="3499"/>
    </row>
    <row r="12" spans="1:4" ht="168" customHeight="1">
      <c r="A12" s="3496" t="s">
        <v>2072</v>
      </c>
      <c r="B12" s="3496"/>
      <c r="C12" s="3496"/>
      <c r="D12" s="3496"/>
    </row>
    <row r="13" spans="1:4">
      <c r="A13" s="3500" t="s">
        <v>2753</v>
      </c>
      <c r="B13" s="3500"/>
      <c r="C13" s="3500"/>
      <c r="D13" s="3500"/>
    </row>
    <row r="14" spans="1:4">
      <c r="A14" s="3499" t="str">
        <f>IF(项目基本情况!B8="抵押","综上，"&amp;结果表!K47,"——")</f>
        <v>综上，本次评估不存在估价师知悉的法定优先受偿款</v>
      </c>
      <c r="B14" s="3499"/>
      <c r="C14" s="3499"/>
      <c r="D14" s="3499"/>
    </row>
    <row r="15" spans="1:4" ht="58.5" customHeight="1">
      <c r="A15" s="34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7"/>
      <c r="C15" s="3497"/>
      <c r="D15" s="3497"/>
    </row>
    <row r="16" spans="1:4" ht="70.5" customHeight="1">
      <c r="A16" s="34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7"/>
      <c r="C16" s="3497"/>
      <c r="D16" s="3497"/>
    </row>
    <row r="17" spans="1:4">
      <c r="A17" s="3497" t="s">
        <v>2709</v>
      </c>
      <c r="B17" s="3497"/>
      <c r="C17" s="3497"/>
      <c r="D17" s="3497"/>
    </row>
    <row r="18" spans="1:4">
      <c r="A18" s="3497" t="s">
        <v>2701</v>
      </c>
      <c r="B18" s="3497"/>
      <c r="C18" s="3497"/>
      <c r="D18" s="3497"/>
    </row>
    <row r="19" spans="1:4">
      <c r="A19" s="2895" t="s">
        <v>2702</v>
      </c>
      <c r="B19" s="2895" t="s">
        <v>2703</v>
      </c>
      <c r="C19" s="2895" t="s">
        <v>2704</v>
      </c>
      <c r="D19" s="2895" t="s">
        <v>2705</v>
      </c>
    </row>
    <row r="20" spans="1:4">
      <c r="A20" s="2895" t="str">
        <f>项目基本情况!B4</f>
        <v>土地估价师</v>
      </c>
      <c r="B20" s="2895">
        <f>项目基本情况!C4</f>
        <v>0</v>
      </c>
      <c r="C20" s="2897"/>
      <c r="D20" s="1802" t="s">
        <v>2710</v>
      </c>
    </row>
    <row r="21" spans="1:4">
      <c r="A21" s="2895" t="str">
        <f>项目基本情况!D4</f>
        <v>土地估价师</v>
      </c>
      <c r="B21" s="2895">
        <f>项目基本情况!E4</f>
        <v>0</v>
      </c>
      <c r="C21" s="2897"/>
      <c r="D21" s="1802" t="s">
        <v>2711</v>
      </c>
    </row>
    <row r="23" spans="1:4">
      <c r="A23" s="3497" t="s">
        <v>2706</v>
      </c>
      <c r="B23" s="3497"/>
      <c r="C23" s="3497"/>
      <c r="D23" s="3497"/>
    </row>
    <row r="24" spans="1:4">
      <c r="A24" s="2895" t="s">
        <v>2702</v>
      </c>
      <c r="B24" s="2895" t="s">
        <v>2707</v>
      </c>
      <c r="C24" s="2895" t="s">
        <v>2704</v>
      </c>
      <c r="D24" s="2895" t="s">
        <v>2705</v>
      </c>
    </row>
    <row r="25" spans="1:4">
      <c r="A25" s="2898" t="s">
        <v>2708</v>
      </c>
      <c r="B25" s="2895" t="s">
        <v>953</v>
      </c>
      <c r="C25" s="2897"/>
      <c r="D25" s="1802" t="s">
        <v>2711</v>
      </c>
    </row>
    <row r="29" spans="1:4">
      <c r="D29" s="2896" t="s">
        <v>2043</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08" t="s">
        <v>53</v>
      </c>
      <c r="B15" s="3509" t="s">
        <v>847</v>
      </c>
      <c r="C15" s="3505"/>
    </row>
    <row r="16" spans="1:7" ht="14.25">
      <c r="A16" s="3508"/>
      <c r="B16" s="3506" t="s">
        <v>54</v>
      </c>
      <c r="C16" s="1172" t="s">
        <v>53</v>
      </c>
    </row>
    <row r="17" spans="1:3" ht="14.25">
      <c r="A17" s="3508"/>
      <c r="B17" s="3506"/>
      <c r="C17" s="1172" t="s">
        <v>55</v>
      </c>
    </row>
    <row r="18" spans="1:3" ht="14.25">
      <c r="A18" s="3508"/>
      <c r="B18" s="3506"/>
      <c r="C18" s="1172" t="s">
        <v>56</v>
      </c>
    </row>
    <row r="19" spans="1:3" ht="14.25">
      <c r="A19" s="3508"/>
      <c r="B19" s="3504" t="s">
        <v>57</v>
      </c>
      <c r="C19" s="3505"/>
    </row>
    <row r="20" spans="1:3" ht="14.25">
      <c r="A20" s="1173" t="s">
        <v>58</v>
      </c>
      <c r="B20" s="1174"/>
      <c r="C20" s="1175"/>
    </row>
    <row r="21" spans="1:3" ht="14.25">
      <c r="A21" s="3507" t="s">
        <v>59</v>
      </c>
      <c r="B21" s="3504" t="s">
        <v>60</v>
      </c>
      <c r="C21" s="3505"/>
    </row>
    <row r="22" spans="1:3" ht="14.25">
      <c r="A22" s="3507"/>
      <c r="B22" s="3504" t="s">
        <v>61</v>
      </c>
      <c r="C22" s="3505"/>
    </row>
    <row r="23" spans="1:3" ht="14.25">
      <c r="A23" s="3507"/>
      <c r="B23" s="3504" t="s">
        <v>62</v>
      </c>
      <c r="C23" s="3505"/>
    </row>
    <row r="24" spans="1:3" ht="14.25">
      <c r="A24" s="3507"/>
      <c r="B24" s="3510" t="s">
        <v>63</v>
      </c>
      <c r="C24" s="1176" t="s">
        <v>838</v>
      </c>
    </row>
    <row r="25" spans="1:3" ht="14.25">
      <c r="A25" s="3507"/>
      <c r="B25" s="3511"/>
      <c r="C25" s="1176" t="s">
        <v>839</v>
      </c>
    </row>
    <row r="26" spans="1:3" ht="14.25">
      <c r="A26" s="3507"/>
      <c r="B26" s="3511"/>
      <c r="C26" s="1176" t="s">
        <v>840</v>
      </c>
    </row>
    <row r="27" spans="1:3" ht="14.25">
      <c r="A27" s="3507"/>
      <c r="B27" s="3511"/>
      <c r="C27" s="1176" t="s">
        <v>841</v>
      </c>
    </row>
    <row r="28" spans="1:3" ht="14.25">
      <c r="A28" s="3507"/>
      <c r="B28" s="3511"/>
      <c r="C28" s="1176" t="s">
        <v>842</v>
      </c>
    </row>
    <row r="29" spans="1:3" ht="14.25">
      <c r="A29" s="3507"/>
      <c r="B29" s="3511"/>
      <c r="C29" s="1176" t="s">
        <v>843</v>
      </c>
    </row>
    <row r="30" spans="1:3" ht="14.25">
      <c r="A30" s="3507"/>
      <c r="B30" s="3511"/>
      <c r="C30" s="1176" t="s">
        <v>844</v>
      </c>
    </row>
    <row r="31" spans="1:3" ht="14.25">
      <c r="A31" s="3507"/>
      <c r="B31" s="3511"/>
      <c r="C31" s="1176" t="s">
        <v>845</v>
      </c>
    </row>
    <row r="32" spans="1:3" ht="14.25">
      <c r="A32" s="3507"/>
      <c r="B32" s="3511"/>
      <c r="C32" s="1176" t="s">
        <v>1648</v>
      </c>
    </row>
    <row r="33" spans="1:3" ht="14.25">
      <c r="A33" s="3507"/>
      <c r="B33" s="3501" t="s">
        <v>1654</v>
      </c>
      <c r="C33" s="1176" t="s">
        <v>1649</v>
      </c>
    </row>
    <row r="34" spans="1:3" ht="14.25">
      <c r="A34" s="3507"/>
      <c r="B34" s="3502"/>
      <c r="C34" s="1181" t="s">
        <v>1650</v>
      </c>
    </row>
    <row r="35" spans="1:3" ht="14.25">
      <c r="A35" s="3507"/>
      <c r="B35" s="3502"/>
      <c r="C35" s="1182" t="s">
        <v>1651</v>
      </c>
    </row>
    <row r="36" spans="1:3" ht="14.25">
      <c r="A36" s="3507"/>
      <c r="B36" s="3502"/>
      <c r="C36" s="1182" t="s">
        <v>1652</v>
      </c>
    </row>
    <row r="37" spans="1:3" ht="14.25">
      <c r="A37" s="3507"/>
      <c r="B37" s="3503"/>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43187</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3">
        <v>43849</v>
      </c>
      <c r="D4" s="2345" t="s">
        <v>1916</v>
      </c>
      <c r="E4" s="2345">
        <f ca="1">IF(F4&lt;B2,"已过期",96010014)</f>
        <v>96010014</v>
      </c>
      <c r="F4" s="3034">
        <v>47118</v>
      </c>
    </row>
    <row r="5" spans="1:6" ht="20.25" customHeight="1">
      <c r="A5" s="2345" t="s">
        <v>1917</v>
      </c>
      <c r="B5" s="2345">
        <f ca="1">IF(C5&lt;B2,"已过期",1119970074)</f>
        <v>1119970074</v>
      </c>
      <c r="C5" s="3033">
        <v>43849</v>
      </c>
      <c r="D5" s="2345" t="s">
        <v>1917</v>
      </c>
      <c r="E5" s="2345">
        <f ca="1">IF(F5&lt;B2,"已过期",2002110027)</f>
        <v>2002110027</v>
      </c>
      <c r="F5" s="3034">
        <v>46752</v>
      </c>
    </row>
    <row r="6" spans="1:6" ht="20.25" customHeight="1">
      <c r="A6" s="2345" t="s">
        <v>1918</v>
      </c>
      <c r="B6" s="2345">
        <f ca="1">IF(C6&lt;B2,"已过期",1119970111)</f>
        <v>1119970111</v>
      </c>
      <c r="C6" s="3033">
        <v>43849</v>
      </c>
      <c r="D6" s="2345" t="s">
        <v>1918</v>
      </c>
      <c r="E6" s="2345">
        <f ca="1">IF(F6&lt;B2,"已过期",94010078)</f>
        <v>94010078</v>
      </c>
      <c r="F6" s="3034">
        <v>46387</v>
      </c>
    </row>
    <row r="7" spans="1:6" ht="20.25" customHeight="1">
      <c r="A7" s="2345" t="s">
        <v>1919</v>
      </c>
      <c r="B7" s="2345">
        <f ca="1">IF(C7&lt;B2,"已过期",1120050019)</f>
        <v>1120050019</v>
      </c>
      <c r="C7" s="3033">
        <v>43359</v>
      </c>
      <c r="D7" s="2345" t="s">
        <v>1919</v>
      </c>
      <c r="E7" s="2345">
        <f ca="1">IF(F7&lt;B2,"已过期",2002110030)</f>
        <v>2002110030</v>
      </c>
      <c r="F7" s="3034">
        <v>46387</v>
      </c>
    </row>
    <row r="8" spans="1:6" ht="20.25" customHeight="1">
      <c r="A8" s="2345" t="s">
        <v>1920</v>
      </c>
      <c r="B8" s="2345">
        <f ca="1">IF(C8&lt;B2,"已过期",1120000080)</f>
        <v>1120000080</v>
      </c>
      <c r="C8" s="3033">
        <v>43849</v>
      </c>
      <c r="D8" s="2345" t="s">
        <v>1920</v>
      </c>
      <c r="E8" s="2345">
        <f ca="1">IF(F8&lt;B2,"已过期",2000110082)</f>
        <v>2000110082</v>
      </c>
      <c r="F8" s="3034">
        <v>46387</v>
      </c>
    </row>
    <row r="9" spans="1:6" ht="20.25" customHeight="1">
      <c r="A9" s="2345" t="s">
        <v>1921</v>
      </c>
      <c r="B9" s="2345">
        <f ca="1">IF(C9&lt;B2,"已过期",1419970001)</f>
        <v>1419970001</v>
      </c>
      <c r="C9" s="3033">
        <v>43867</v>
      </c>
      <c r="D9" s="2345" t="s">
        <v>1921</v>
      </c>
      <c r="E9" s="2345">
        <f ca="1">IF(F9&lt;B2,"已过期",2002110125)</f>
        <v>2002110125</v>
      </c>
      <c r="F9" s="3034">
        <v>47118</v>
      </c>
    </row>
    <row r="10" spans="1:6" ht="20.25" customHeight="1">
      <c r="A10" s="2345" t="s">
        <v>1922</v>
      </c>
      <c r="B10" s="2345">
        <f ca="1">IF(C10&lt;B2,"已过期",1120060040)</f>
        <v>1120060040</v>
      </c>
      <c r="C10" s="3033">
        <v>43483</v>
      </c>
      <c r="D10" s="2345" t="s">
        <v>1922</v>
      </c>
      <c r="E10" s="2345">
        <f ca="1">IF(F10&lt;B2,"已过期",2004110096)</f>
        <v>2004110096</v>
      </c>
      <c r="F10" s="3034">
        <v>47118</v>
      </c>
    </row>
    <row r="11" spans="1:6" ht="20.25" customHeight="1">
      <c r="A11" s="2345" t="s">
        <v>1923</v>
      </c>
      <c r="B11" s="2345">
        <f ca="1">IF(C11&lt;B2,"已过期",1120100036)</f>
        <v>1120100036</v>
      </c>
      <c r="C11" s="3033">
        <v>43622</v>
      </c>
      <c r="D11" s="2345" t="s">
        <v>1923</v>
      </c>
      <c r="E11" s="2345">
        <f ca="1">IF(F11&lt;B2,"已过期",2010110070)</f>
        <v>2010110070</v>
      </c>
      <c r="F11" s="3034">
        <v>47907</v>
      </c>
    </row>
    <row r="12" spans="1:6" ht="20.25" customHeight="1">
      <c r="A12" s="2345"/>
      <c r="B12" s="2345"/>
      <c r="C12" s="3033"/>
      <c r="D12" s="2345"/>
      <c r="E12" s="2345"/>
      <c r="F12" s="2345"/>
    </row>
    <row r="13" spans="1:6" ht="20.25" customHeight="1">
      <c r="A13" s="2345" t="s">
        <v>1924</v>
      </c>
      <c r="B13" s="2345">
        <f ca="1">IF(C13&lt;B2,"已过期",1120070131)</f>
        <v>1120070131</v>
      </c>
      <c r="C13" s="3033">
        <v>43814</v>
      </c>
      <c r="D13" s="2345" t="s">
        <v>1924</v>
      </c>
      <c r="E13" s="2345">
        <v>2014110011</v>
      </c>
      <c r="F13" s="3034">
        <v>49302</v>
      </c>
    </row>
    <row r="14" spans="1:6" ht="20.25" customHeight="1">
      <c r="A14" s="2345" t="s">
        <v>1925</v>
      </c>
      <c r="B14" s="2345">
        <f ca="1">IF(C14&lt;B2,"已过期",1120130020)</f>
        <v>1120130020</v>
      </c>
      <c r="C14" s="3033">
        <v>43622</v>
      </c>
      <c r="D14" s="2345"/>
      <c r="E14" s="2345"/>
      <c r="F14" s="2345"/>
    </row>
    <row r="15" spans="1:6" ht="20.25" customHeight="1">
      <c r="A15" s="2345" t="s">
        <v>2581</v>
      </c>
      <c r="B15" s="2345">
        <v>1120070085</v>
      </c>
      <c r="C15" s="3033">
        <v>43814</v>
      </c>
      <c r="D15" s="2345" t="s">
        <v>2581</v>
      </c>
      <c r="E15" s="2345">
        <v>2004110128</v>
      </c>
      <c r="F15" s="3034">
        <v>47118</v>
      </c>
    </row>
    <row r="16" spans="1:6" ht="20.25" customHeight="1">
      <c r="A16" s="2345" t="s">
        <v>1926</v>
      </c>
      <c r="B16" s="2345">
        <f ca="1">IF(C16&lt;B2,"已过期",1120140022)</f>
        <v>1120140022</v>
      </c>
      <c r="C16" s="3033">
        <v>44029</v>
      </c>
      <c r="D16" s="2345" t="s">
        <v>1926</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1927</v>
      </c>
      <c r="E21" s="2345">
        <f ca="1">IF(F21&lt;B2,"已过期",2011110090)</f>
        <v>2011110090</v>
      </c>
      <c r="F21" s="3034">
        <v>48302</v>
      </c>
    </row>
    <row r="22" spans="1:7" ht="20.25" customHeight="1">
      <c r="A22" s="2345" t="s">
        <v>1928</v>
      </c>
      <c r="B22" s="2345">
        <f ca="1">IF(C22&lt;B2,"已过期",1120020033)</f>
        <v>1120020033</v>
      </c>
      <c r="C22" s="3033">
        <v>43304</v>
      </c>
      <c r="D22" s="2345" t="s">
        <v>1928</v>
      </c>
      <c r="E22" s="2345">
        <f ca="1">IF(F22&lt;B2,"已过期",2000110137)</f>
        <v>2000110137</v>
      </c>
      <c r="F22" s="3034">
        <v>46387</v>
      </c>
    </row>
    <row r="23" spans="1:7" ht="20.25" customHeight="1">
      <c r="A23" s="2345" t="s">
        <v>1929</v>
      </c>
      <c r="B23" s="2345">
        <f ca="1">IF(C23&lt;B2,"已过期",1120130048)</f>
        <v>1120130048</v>
      </c>
      <c r="C23" s="3033">
        <v>43686</v>
      </c>
      <c r="D23" s="2345"/>
      <c r="E23" s="2345"/>
      <c r="F23" s="2345"/>
    </row>
    <row r="24" spans="1:7" s="2349" customFormat="1" ht="20.25" customHeight="1">
      <c r="A24" s="2347" t="s">
        <v>2057</v>
      </c>
      <c r="B24" s="2347" t="s">
        <v>2057</v>
      </c>
      <c r="C24" s="3033"/>
      <c r="D24" s="3035" t="s">
        <v>2057</v>
      </c>
      <c r="E24" s="2347" t="s">
        <v>2057</v>
      </c>
      <c r="F24" s="2348"/>
    </row>
    <row r="25" spans="1:7" ht="20.25" customHeight="1">
      <c r="A25" s="3512" t="s">
        <v>1930</v>
      </c>
      <c r="B25" s="3512"/>
      <c r="C25" s="3512"/>
      <c r="D25" s="3512"/>
      <c r="E25" s="3512"/>
      <c r="F25" s="3512"/>
      <c r="G25" s="3512"/>
    </row>
    <row r="26" spans="1:7" ht="20.25" customHeight="1">
      <c r="A26" s="3513" t="s">
        <v>1931</v>
      </c>
      <c r="B26" s="3513"/>
      <c r="C26" s="3513"/>
      <c r="D26" s="3513" t="s">
        <v>1932</v>
      </c>
      <c r="E26" s="3513"/>
      <c r="F26" s="3513"/>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2954</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129</vt:i4>
      </vt:variant>
    </vt:vector>
  </HeadingPairs>
  <TitlesOfParts>
    <vt:vector size="171"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2018-03-28T02:47:59Z</dcterms:modified>
</cp:coreProperties>
</file>