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表" sheetId="77"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案例" sheetId="81" r:id="rId25"/>
    <sheet name="Sheet6" sheetId="82" r:id="rId26"/>
    <sheet name="收益法（汇总）" sheetId="70" r:id="rId27"/>
    <sheet name="收益法（1层商业）" sheetId="15" r:id="rId28"/>
    <sheet name="收益法 (元)" sheetId="67" state="hidden" r:id="rId29"/>
    <sheet name="收益法 (地下商业)" sheetId="78" r:id="rId30"/>
    <sheet name="收益法 (办公)" sheetId="79" r:id="rId31"/>
    <sheet name="收益法 (地下车库)" sheetId="80"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(办公)'!$A$1:$AK$69</definedName>
    <definedName name="_xlnm.Print_Area" localSheetId="31">'收益法 (地下车库)'!$A$1:$AK$69</definedName>
    <definedName name="_xlnm.Print_Area" localSheetId="29">'收益法 (地下商业)'!$A$1:$AK$69</definedName>
    <definedName name="_xlnm.Print_Area" localSheetId="28">'收益法 (元)'!$A$1:$AK$69</definedName>
    <definedName name="_xlnm.Print_Area" localSheetId="27">'收益法（1层商业）'!$A$1:$AK$69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6" i="4" l="1"/>
  <c r="P59" i="34"/>
  <c r="I91" i="9"/>
  <c r="C91" i="9"/>
  <c r="C94" i="9"/>
  <c r="C88" i="9"/>
  <c r="D29" i="77"/>
  <c r="D30" i="77"/>
  <c r="D28" i="77"/>
  <c r="D27" i="77"/>
  <c r="D26" i="77"/>
  <c r="A3" i="3"/>
  <c r="H4" i="77"/>
  <c r="H5" i="77"/>
  <c r="H3" i="77"/>
  <c r="H6" i="77"/>
  <c r="G6" i="77"/>
  <c r="G5" i="77"/>
  <c r="G3" i="77"/>
  <c r="F6" i="77"/>
  <c r="U9" i="1"/>
  <c r="I34" i="34"/>
  <c r="G34" i="34"/>
  <c r="E34" i="34"/>
  <c r="I37" i="34"/>
  <c r="G37" i="34"/>
  <c r="D18" i="77"/>
  <c r="C37" i="34"/>
  <c r="I48" i="34"/>
  <c r="G48" i="34"/>
  <c r="E48" i="34"/>
  <c r="I7" i="34"/>
  <c r="G7" i="34"/>
  <c r="E7" i="34"/>
  <c r="I6" i="34"/>
  <c r="G6" i="34"/>
  <c r="E6" i="34"/>
  <c r="I5" i="34"/>
  <c r="G5" i="34"/>
  <c r="E5" i="34"/>
  <c r="I5" i="81"/>
  <c r="J4" i="81"/>
  <c r="I4" i="81"/>
  <c r="K4" i="81"/>
  <c r="I3" i="81"/>
  <c r="K2" i="81"/>
  <c r="J2" i="81"/>
  <c r="Q72" i="80"/>
  <c r="Q59" i="80"/>
  <c r="K59" i="80"/>
  <c r="P74" i="80"/>
  <c r="Q58" i="80"/>
  <c r="Q51" i="80"/>
  <c r="J50" i="80"/>
  <c r="B2" i="1"/>
  <c r="J51" i="80"/>
  <c r="M47" i="80"/>
  <c r="D46" i="80"/>
  <c r="F34" i="80"/>
  <c r="F62" i="80"/>
  <c r="F33" i="80"/>
  <c r="F61" i="80"/>
  <c r="F32" i="80"/>
  <c r="F60" i="80"/>
  <c r="F28" i="80"/>
  <c r="C42" i="1"/>
  <c r="C28" i="80"/>
  <c r="F23" i="80"/>
  <c r="D24" i="80"/>
  <c r="D23" i="80"/>
  <c r="D22" i="80"/>
  <c r="F21" i="80"/>
  <c r="M20" i="80"/>
  <c r="F20" i="80"/>
  <c r="M19" i="80"/>
  <c r="M18" i="80"/>
  <c r="F18" i="80"/>
  <c r="F17" i="80"/>
  <c r="F15" i="80"/>
  <c r="G1" i="80"/>
  <c r="P74" i="79"/>
  <c r="Q72" i="79"/>
  <c r="Q59" i="79"/>
  <c r="K59" i="79"/>
  <c r="P61" i="79"/>
  <c r="Q58" i="79"/>
  <c r="Q51" i="79"/>
  <c r="J51" i="79"/>
  <c r="J50" i="79"/>
  <c r="M47" i="79"/>
  <c r="D46" i="79"/>
  <c r="F34" i="79"/>
  <c r="F62" i="79"/>
  <c r="F33" i="79"/>
  <c r="F61" i="79"/>
  <c r="F32" i="79"/>
  <c r="F60" i="79"/>
  <c r="F28" i="79"/>
  <c r="C28" i="79"/>
  <c r="F23" i="79"/>
  <c r="D24" i="79"/>
  <c r="D23" i="79"/>
  <c r="D22" i="79"/>
  <c r="F21" i="79"/>
  <c r="M20" i="79"/>
  <c r="F20" i="79"/>
  <c r="M19" i="79"/>
  <c r="M18" i="79"/>
  <c r="F18" i="79"/>
  <c r="F17" i="79"/>
  <c r="F15" i="79"/>
  <c r="G1" i="79"/>
  <c r="Q72" i="78"/>
  <c r="Q59" i="78"/>
  <c r="K59" i="78"/>
  <c r="P74" i="78"/>
  <c r="Q58" i="78"/>
  <c r="Q51" i="78"/>
  <c r="J50" i="78"/>
  <c r="J51" i="78"/>
  <c r="M47" i="78"/>
  <c r="D46" i="78"/>
  <c r="F34" i="78"/>
  <c r="F62" i="78"/>
  <c r="F33" i="78"/>
  <c r="F61" i="78"/>
  <c r="F32" i="78"/>
  <c r="F60" i="78"/>
  <c r="F28" i="78"/>
  <c r="C28" i="78"/>
  <c r="F23" i="78"/>
  <c r="F21" i="78"/>
  <c r="M20" i="78"/>
  <c r="F20" i="78"/>
  <c r="M19" i="78"/>
  <c r="M18" i="78"/>
  <c r="F18" i="78"/>
  <c r="F17" i="78"/>
  <c r="F15" i="78"/>
  <c r="G1" i="78"/>
  <c r="N14" i="1"/>
  <c r="E20" i="77"/>
  <c r="D20" i="77"/>
  <c r="D19" i="77"/>
  <c r="C20" i="77"/>
  <c r="C19" i="77"/>
  <c r="F9" i="79"/>
  <c r="M26" i="78"/>
  <c r="M9" i="78"/>
  <c r="C76" i="80"/>
  <c r="F16" i="78"/>
  <c r="F8" i="79"/>
  <c r="C76" i="79"/>
  <c r="F6" i="78"/>
  <c r="Q71" i="80"/>
  <c r="P61" i="80"/>
  <c r="Q71" i="79"/>
  <c r="F51" i="79"/>
  <c r="D23" i="78"/>
  <c r="D22" i="78"/>
  <c r="D24" i="78"/>
  <c r="P61" i="78"/>
  <c r="N9" i="1"/>
  <c r="Y6" i="1"/>
  <c r="Y9" i="1"/>
  <c r="N8" i="1"/>
  <c r="Y8" i="1"/>
  <c r="N7" i="1"/>
  <c r="Y7" i="1"/>
  <c r="F40" i="79"/>
  <c r="F15" i="4"/>
  <c r="F7" i="1"/>
  <c r="L48" i="79"/>
  <c r="F38" i="78"/>
  <c r="F6" i="80"/>
  <c r="M6" i="80"/>
  <c r="F9" i="1"/>
  <c r="L48" i="78"/>
  <c r="M28" i="79"/>
  <c r="F13" i="80"/>
  <c r="M8" i="79"/>
  <c r="F16" i="80"/>
  <c r="F16" i="79"/>
  <c r="M24" i="79"/>
  <c r="F9" i="78"/>
  <c r="M26" i="79"/>
  <c r="L47" i="80"/>
  <c r="M22" i="79"/>
  <c r="M27" i="79"/>
  <c r="F36" i="79"/>
  <c r="F37" i="80"/>
  <c r="M23" i="78"/>
  <c r="F37" i="79"/>
  <c r="F13" i="79"/>
  <c r="F40" i="78"/>
  <c r="F26" i="78"/>
  <c r="M27" i="78"/>
  <c r="M23" i="80"/>
  <c r="M26" i="80"/>
  <c r="M24" i="80"/>
  <c r="M27" i="80"/>
  <c r="F8" i="80"/>
  <c r="F42" i="79"/>
  <c r="M22" i="78"/>
  <c r="M9" i="79"/>
  <c r="F38" i="79"/>
  <c r="F13" i="78"/>
  <c r="M28" i="80"/>
  <c r="F36" i="80"/>
  <c r="G15" i="4"/>
  <c r="F8" i="1"/>
  <c r="L48" i="80"/>
  <c r="F26" i="79"/>
  <c r="M23" i="79"/>
  <c r="L47" i="78"/>
  <c r="F9" i="80"/>
  <c r="L47" i="79"/>
  <c r="J15" i="79"/>
  <c r="F6" i="79"/>
  <c r="F7" i="80"/>
  <c r="M9" i="80"/>
  <c r="J15" i="80"/>
  <c r="F26" i="80"/>
  <c r="M24" i="78"/>
  <c r="M8" i="78"/>
  <c r="M6" i="79"/>
  <c r="F36" i="78"/>
  <c r="M22" i="80"/>
  <c r="F42" i="78"/>
  <c r="M8" i="80"/>
  <c r="C76" i="78"/>
  <c r="F42" i="80"/>
  <c r="M28" i="78"/>
  <c r="F38" i="80"/>
  <c r="J15" i="78"/>
  <c r="F8" i="78"/>
  <c r="M6" i="78"/>
  <c r="F40" i="80"/>
  <c r="F37" i="78"/>
  <c r="L57" i="80"/>
  <c r="L56" i="80"/>
  <c r="J60" i="80"/>
  <c r="Q48" i="80"/>
  <c r="I54" i="80"/>
  <c r="J59" i="80"/>
  <c r="J53" i="80"/>
  <c r="J57" i="80"/>
  <c r="J55" i="80"/>
  <c r="J58" i="80"/>
  <c r="Q50" i="80"/>
  <c r="L60" i="80"/>
  <c r="F68" i="80"/>
  <c r="F50" i="80"/>
  <c r="M7" i="80"/>
  <c r="J6" i="80"/>
  <c r="F65" i="80"/>
  <c r="C27" i="80"/>
  <c r="C6" i="80"/>
  <c r="N59" i="80"/>
  <c r="L59" i="80"/>
  <c r="L58" i="80"/>
  <c r="M59" i="80"/>
  <c r="F51" i="80"/>
  <c r="F66" i="80"/>
  <c r="F64" i="80"/>
  <c r="N59" i="79"/>
  <c r="L59" i="79"/>
  <c r="L58" i="79"/>
  <c r="M59" i="79"/>
  <c r="F66" i="79"/>
  <c r="F64" i="79"/>
  <c r="C27" i="79"/>
  <c r="L57" i="79"/>
  <c r="L56" i="79"/>
  <c r="J59" i="79"/>
  <c r="J53" i="79"/>
  <c r="J57" i="79"/>
  <c r="J55" i="79"/>
  <c r="J58" i="79"/>
  <c r="Q50" i="79"/>
  <c r="L60" i="79"/>
  <c r="J60" i="79"/>
  <c r="Q48" i="79"/>
  <c r="I54" i="79"/>
  <c r="F68" i="79"/>
  <c r="F65" i="79"/>
  <c r="F65" i="78"/>
  <c r="N59" i="78"/>
  <c r="L59" i="78"/>
  <c r="L58" i="78"/>
  <c r="M59" i="78"/>
  <c r="C27" i="78"/>
  <c r="F66" i="78"/>
  <c r="F64" i="78"/>
  <c r="F51" i="78"/>
  <c r="F68" i="78"/>
  <c r="L57" i="78"/>
  <c r="L56" i="78"/>
  <c r="L60" i="78"/>
  <c r="J60" i="78"/>
  <c r="Q48" i="78"/>
  <c r="J53" i="78"/>
  <c r="J57" i="78"/>
  <c r="J55" i="78"/>
  <c r="J58" i="78"/>
  <c r="Q50" i="78"/>
  <c r="J59" i="78"/>
  <c r="I54" i="78"/>
  <c r="Q71" i="78"/>
  <c r="F31" i="80"/>
  <c r="M17" i="80"/>
  <c r="F59" i="80"/>
  <c r="L46" i="80"/>
  <c r="C49" i="80"/>
  <c r="Q61" i="80"/>
  <c r="Q74" i="80"/>
  <c r="Q66" i="80"/>
  <c r="Q57" i="80"/>
  <c r="F1" i="80"/>
  <c r="Q52" i="80"/>
  <c r="Q60" i="80"/>
  <c r="Q73" i="80"/>
  <c r="Q61" i="79"/>
  <c r="Q74" i="79"/>
  <c r="Q66" i="79"/>
  <c r="Q57" i="79"/>
  <c r="Q52" i="79"/>
  <c r="F1" i="79"/>
  <c r="L46" i="79"/>
  <c r="Q60" i="79"/>
  <c r="Q73" i="79"/>
  <c r="F1" i="78"/>
  <c r="Q52" i="78"/>
  <c r="L46" i="78"/>
  <c r="Q61" i="78"/>
  <c r="Q74" i="78"/>
  <c r="Q66" i="78"/>
  <c r="Q57" i="78"/>
  <c r="Q60" i="78"/>
  <c r="Q73" i="78"/>
  <c r="G22" i="6"/>
  <c r="F19" i="6"/>
  <c r="C7" i="33"/>
  <c r="I7" i="33"/>
  <c r="G7" i="33"/>
  <c r="E7" i="33"/>
  <c r="B55" i="1"/>
  <c r="B56" i="1"/>
  <c r="B57" i="1"/>
  <c r="B58" i="1"/>
  <c r="B59" i="1"/>
  <c r="B54" i="1"/>
  <c r="I13" i="3"/>
  <c r="O13" i="3"/>
  <c r="E6" i="77"/>
  <c r="C13" i="77"/>
  <c r="K13" i="3"/>
  <c r="F20" i="6"/>
  <c r="AN13" i="3"/>
  <c r="M13" i="3"/>
  <c r="G21"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B67" i="72"/>
  <c r="A20" i="62"/>
  <c r="B66" i="72"/>
  <c r="A22" i="51"/>
  <c r="A21" i="51"/>
  <c r="A20" i="51"/>
  <c r="A14" i="62"/>
  <c r="B60" i="72"/>
  <c r="A13" i="62"/>
  <c r="A19" i="62"/>
  <c r="A12" i="62"/>
  <c r="A120" i="9"/>
  <c r="H2" i="52"/>
  <c r="A1" i="52"/>
  <c r="A3" i="53"/>
  <c r="Q9" i="71"/>
  <c r="P9" i="71"/>
  <c r="O9" i="71"/>
  <c r="N9"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F10" i="43"/>
  <c r="AJ10" i="43"/>
  <c r="K49" i="9"/>
  <c r="E107" i="9"/>
  <c r="A122" i="9"/>
  <c r="A8" i="52"/>
  <c r="E111" i="9"/>
  <c r="A126" i="9"/>
  <c r="A12" i="52"/>
  <c r="B56" i="72"/>
  <c r="E109" i="9"/>
  <c r="A124" i="9"/>
  <c r="B44" i="72"/>
  <c r="B42" i="72"/>
  <c r="B69" i="72"/>
  <c r="B68" i="72"/>
  <c r="B63" i="72"/>
  <c r="B62" i="72"/>
  <c r="B16" i="72"/>
  <c r="B65" i="72"/>
  <c r="B59" i="72"/>
  <c r="B58" i="72"/>
  <c r="B12" i="72"/>
  <c r="B10" i="72"/>
  <c r="C53" i="10"/>
  <c r="B51" i="10"/>
  <c r="B19" i="72"/>
  <c r="A18" i="51"/>
  <c r="B13" i="72"/>
  <c r="C8" i="68"/>
  <c r="B49" i="48"/>
  <c r="B5" i="72"/>
  <c r="I19" i="43"/>
  <c r="D72" i="71"/>
  <c r="F71" i="71"/>
  <c r="F70" i="71"/>
  <c r="E71" i="71"/>
  <c r="E70" i="71"/>
  <c r="E69" i="71"/>
  <c r="C71" i="71"/>
  <c r="D71" i="71"/>
  <c r="B71" i="71"/>
  <c r="B70" i="71"/>
  <c r="F69"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AA16" i="71"/>
  <c r="O18" i="71"/>
  <c r="Y18" i="71"/>
  <c r="Z18" i="71"/>
  <c r="N18" i="71"/>
  <c r="X16"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AA13" i="71"/>
  <c r="O14" i="71"/>
  <c r="Y14" i="71"/>
  <c r="Z14" i="71"/>
  <c r="N14" i="71"/>
  <c r="X12" i="71"/>
  <c r="Q13" i="71"/>
  <c r="AB13" i="71"/>
  <c r="P13" i="71"/>
  <c r="O13" i="71"/>
  <c r="Y13" i="71"/>
  <c r="Z13" i="71"/>
  <c r="N13" i="71"/>
  <c r="Q12" i="71"/>
  <c r="AB12" i="71"/>
  <c r="P12" i="71"/>
  <c r="O12" i="71"/>
  <c r="Y12" i="71"/>
  <c r="Z12" i="71"/>
  <c r="N12" i="71"/>
  <c r="D12" i="71"/>
  <c r="O11" i="71"/>
  <c r="N11" i="71"/>
  <c r="B13" i="71"/>
  <c r="B14" i="71"/>
  <c r="B15" i="71"/>
  <c r="S15" i="71"/>
  <c r="E13" i="71"/>
  <c r="E14" i="71"/>
  <c r="E15" i="71"/>
  <c r="U15" i="71"/>
  <c r="AA12" i="71"/>
  <c r="B17" i="71"/>
  <c r="B18" i="71"/>
  <c r="B19" i="71"/>
  <c r="S19" i="71"/>
  <c r="B21" i="71"/>
  <c r="B22" i="71"/>
  <c r="B23" i="71"/>
  <c r="S23" i="71"/>
  <c r="X20" i="71"/>
  <c r="E21" i="71"/>
  <c r="E22" i="71"/>
  <c r="E23" i="71"/>
  <c r="U23" i="71"/>
  <c r="AA20" i="71"/>
  <c r="N51" i="71"/>
  <c r="E17" i="71"/>
  <c r="E18" i="71"/>
  <c r="E19" i="71"/>
  <c r="U19" i="71"/>
  <c r="C13" i="71"/>
  <c r="X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P11" i="71"/>
  <c r="E46" i="71"/>
  <c r="E47" i="71"/>
  <c r="U47" i="71"/>
  <c r="U51" i="71"/>
  <c r="E50" i="71"/>
  <c r="Q11" i="71"/>
  <c r="AB3"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8" i="71"/>
  <c r="AB10" i="71"/>
  <c r="E11" i="71"/>
  <c r="E10" i="71"/>
  <c r="E9" i="71"/>
  <c r="AA3" i="71"/>
  <c r="AA8" i="71"/>
  <c r="AA9" i="71"/>
  <c r="AA10" i="71"/>
  <c r="AA11" i="71"/>
  <c r="D11" i="71"/>
  <c r="U11" i="71"/>
  <c r="C49" i="71"/>
  <c r="D49" i="71"/>
  <c r="O50" i="71"/>
  <c r="D50" i="71"/>
  <c r="C47" i="71"/>
  <c r="D46" i="71"/>
  <c r="D66" i="71"/>
  <c r="C65" i="71"/>
  <c r="D65" i="71"/>
  <c r="D58" i="71"/>
  <c r="C57" i="71"/>
  <c r="D57" i="71"/>
  <c r="N48" i="71"/>
  <c r="N49" i="71"/>
  <c r="D70" i="71"/>
  <c r="C69" i="71"/>
  <c r="D69" i="71"/>
  <c r="D62" i="71"/>
  <c r="C61" i="71"/>
  <c r="D61" i="71"/>
  <c r="D54" i="71"/>
  <c r="C53" i="71"/>
  <c r="D53" i="71"/>
  <c r="P50" i="71"/>
  <c r="E49" i="71"/>
  <c r="C23" i="71"/>
  <c r="T23" i="71"/>
  <c r="D22" i="71"/>
  <c r="C15" i="71"/>
  <c r="T15" i="71"/>
  <c r="D14" i="71"/>
  <c r="C9" i="71"/>
  <c r="D9" i="71"/>
  <c r="D10" i="71"/>
  <c r="P48" i="71"/>
  <c r="P49" i="71"/>
  <c r="O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H25" i="40"/>
  <c r="J25" i="40"/>
  <c r="H29" i="39"/>
  <c r="J29" i="39"/>
  <c r="AC29" i="39"/>
  <c r="J18" i="36"/>
  <c r="AC18" i="36"/>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G83" i="21"/>
  <c r="J21" i="21"/>
  <c r="C40" i="69"/>
  <c r="F38" i="68"/>
  <c r="E37" i="68"/>
  <c r="F36" i="68"/>
  <c r="F35" i="68"/>
  <c r="F21" i="68"/>
  <c r="C21" i="68"/>
  <c r="F20" i="68"/>
  <c r="E10" i="68"/>
  <c r="E9" i="68"/>
  <c r="F7" i="68"/>
  <c r="C7" i="68"/>
  <c r="W21" i="21"/>
  <c r="AC21" i="21"/>
  <c r="C40" i="68"/>
  <c r="Q72" i="67"/>
  <c r="Q59" i="67"/>
  <c r="Q58" i="67"/>
  <c r="Q51" i="67"/>
  <c r="J50" i="67"/>
  <c r="M47" i="67"/>
  <c r="J53"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E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6" i="34"/>
  <c r="E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38" i="34"/>
  <c r="S38" i="34"/>
  <c r="H36" i="34"/>
  <c r="U36" i="34"/>
  <c r="F37" i="34"/>
  <c r="AA37" i="34"/>
  <c r="F28" i="34"/>
  <c r="AA28" i="34"/>
  <c r="F27" i="34"/>
  <c r="AA27" i="34"/>
  <c r="F19" i="34"/>
  <c r="S19" i="34"/>
  <c r="H17" i="34"/>
  <c r="U17" i="34"/>
  <c r="F15" i="34"/>
  <c r="AA15" i="34"/>
  <c r="J15" i="34"/>
  <c r="AC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c r="H38" i="34"/>
  <c r="AB38" i="34"/>
  <c r="J36" i="34"/>
  <c r="W36" i="34"/>
  <c r="J19" i="34"/>
  <c r="AC19" i="34"/>
  <c r="F17" i="34"/>
  <c r="AA17" i="34"/>
  <c r="J17" i="34"/>
  <c r="AC17"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AC39" i="34"/>
  <c r="AC42" i="34"/>
  <c r="AB35" i="34"/>
  <c r="U39" i="34"/>
  <c r="AB41" i="34"/>
  <c r="AA45" i="34"/>
  <c r="U28" i="34"/>
  <c r="AA29" i="34"/>
  <c r="U27" i="34"/>
  <c r="S10" i="34"/>
  <c r="S13"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D7" i="52"/>
  <c r="C18" i="9"/>
  <c r="D18" i="9"/>
  <c r="F34" i="67"/>
  <c r="F62" i="67"/>
  <c r="M20" i="67"/>
  <c r="F34" i="15"/>
  <c r="F62" i="15"/>
  <c r="G13" i="3"/>
  <c r="BA13" i="3"/>
  <c r="BA5" i="3"/>
  <c r="BL17" i="3"/>
  <c r="AZ17" i="3"/>
  <c r="BL13" i="3"/>
  <c r="J56" i="9"/>
  <c r="J57" i="9"/>
  <c r="J59" i="9"/>
  <c r="J61" i="9"/>
  <c r="A24" i="51"/>
  <c r="B18" i="72"/>
  <c r="U29" i="34"/>
  <c r="E5" i="6"/>
  <c r="D9" i="11"/>
  <c r="C9" i="11"/>
  <c r="P10" i="1"/>
  <c r="E32" i="6"/>
  <c r="L19" i="6"/>
  <c r="G1" i="68"/>
  <c r="K1" i="12"/>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C16"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58" i="33"/>
  <c r="D58" i="33"/>
  <c r="E58" i="33"/>
  <c r="F58" i="33"/>
  <c r="G58" i="33"/>
  <c r="H58" i="33"/>
  <c r="I58" i="33"/>
  <c r="J58" i="33"/>
  <c r="K58" i="33"/>
  <c r="L58" i="33"/>
  <c r="M58" i="33"/>
  <c r="N58" i="33"/>
  <c r="O58" i="33"/>
  <c r="C7" i="21"/>
  <c r="C58" i="21"/>
  <c r="D58" i="21"/>
  <c r="E58" i="21"/>
  <c r="F58" i="21"/>
  <c r="G58" i="21"/>
  <c r="H58" i="21"/>
  <c r="I58" i="21"/>
  <c r="C7" i="40"/>
  <c r="C63" i="40"/>
  <c r="D63" i="40"/>
  <c r="M47" i="9"/>
  <c r="G19" i="43"/>
  <c r="T35" i="4"/>
  <c r="A19" i="51"/>
  <c r="B14" i="72"/>
  <c r="C46" i="36"/>
  <c r="D46" i="36"/>
  <c r="E46" i="36"/>
  <c r="C59" i="34"/>
  <c r="D59" i="34"/>
  <c r="E59" i="34"/>
  <c r="F59" i="34"/>
  <c r="C52" i="37"/>
  <c r="D52" i="37"/>
  <c r="E52" i="37"/>
  <c r="F52" i="37"/>
  <c r="A4" i="51"/>
  <c r="B6" i="72"/>
  <c r="C48" i="35"/>
  <c r="D48" i="35"/>
  <c r="E48" i="35"/>
  <c r="F48" i="35"/>
  <c r="G48" i="35"/>
  <c r="C4" i="12"/>
  <c r="H62" i="43"/>
  <c r="H66" i="43"/>
  <c r="H61" i="43"/>
  <c r="H65" i="43"/>
  <c r="H60" i="43"/>
  <c r="H64" i="43"/>
  <c r="H59" i="43"/>
  <c r="H63" i="43"/>
  <c r="H67" i="43"/>
  <c r="H55" i="43"/>
  <c r="H51" i="43"/>
  <c r="H56" i="43"/>
  <c r="H76" i="43"/>
  <c r="H72" i="43"/>
  <c r="H77"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C45" i="34"/>
  <c r="AA31" i="34"/>
  <c r="AA30" i="34"/>
  <c r="AB45" i="34"/>
  <c r="AB47" i="34"/>
  <c r="AB36" i="34"/>
  <c r="W33" i="34"/>
  <c r="AC14" i="34"/>
  <c r="AC32" i="34"/>
  <c r="AC29" i="34"/>
  <c r="W29" i="34"/>
  <c r="W46" i="34"/>
  <c r="AC46" i="34"/>
  <c r="S32" i="34"/>
  <c r="AA32" i="34"/>
  <c r="U30" i="34"/>
  <c r="AB30" i="34"/>
  <c r="S37" i="34"/>
  <c r="AA19" i="34"/>
  <c r="AA36" i="34"/>
  <c r="S36" i="34"/>
  <c r="AA8" i="34"/>
  <c r="S8"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M6" i="1"/>
  <c r="O6" i="1"/>
  <c r="P6" i="1"/>
  <c r="F30" i="68"/>
  <c r="C30" i="68"/>
  <c r="F30" i="11"/>
  <c r="C48" i="11"/>
  <c r="F28" i="67"/>
  <c r="C28" i="67"/>
  <c r="F31" i="12"/>
  <c r="F52" i="9"/>
  <c r="C31" i="12"/>
  <c r="M18" i="67"/>
  <c r="F32" i="67"/>
  <c r="F60" i="67"/>
  <c r="F30" i="69"/>
  <c r="C48" i="69"/>
  <c r="F32" i="15"/>
  <c r="F60" i="15"/>
  <c r="M18" i="15"/>
  <c r="F28" i="15"/>
  <c r="T11" i="1"/>
  <c r="C77" i="9"/>
  <c r="C74" i="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c r="I70" i="34"/>
  <c r="J70" i="34"/>
  <c r="K70" i="34"/>
  <c r="L70" i="34"/>
  <c r="M70" i="34"/>
  <c r="U10" i="34"/>
  <c r="J10" i="34"/>
  <c r="AC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W10" i="33"/>
  <c r="AC37" i="21"/>
  <c r="U33" i="21"/>
  <c r="S37" i="21"/>
  <c r="AA23" i="21"/>
  <c r="AB15" i="21"/>
  <c r="J23" i="21"/>
  <c r="F85" i="21"/>
  <c r="G85" i="21"/>
  <c r="H23" i="21"/>
  <c r="S13" i="21"/>
  <c r="D6" i="52"/>
  <c r="K120" i="9"/>
  <c r="A18" i="62"/>
  <c r="B64" i="72"/>
  <c r="R22" i="31"/>
  <c r="B21" i="31"/>
  <c r="O19" i="43"/>
  <c r="F46" i="36"/>
  <c r="G46" i="36"/>
  <c r="H46" i="36"/>
  <c r="C65" i="40"/>
  <c r="K4" i="4"/>
  <c r="B46" i="48"/>
  <c r="B4" i="72"/>
  <c r="B5" i="62"/>
  <c r="B73" i="72"/>
  <c r="B4" i="62"/>
  <c r="B71" i="72"/>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C5" i="68"/>
  <c r="F1" i="67"/>
  <c r="Q52" i="67"/>
  <c r="AC11" i="37"/>
  <c r="W11" i="37"/>
  <c r="C13" i="12"/>
  <c r="F34" i="11"/>
  <c r="F11" i="12"/>
  <c r="C23" i="12"/>
  <c r="F34" i="68"/>
  <c r="AG6" i="1"/>
  <c r="H109" i="9"/>
  <c r="H110" i="9"/>
  <c r="D18" i="53"/>
  <c r="B35" i="72"/>
  <c r="D16" i="53"/>
  <c r="B34" i="72"/>
  <c r="J7" i="33"/>
  <c r="W7" i="33"/>
  <c r="F7" i="33"/>
  <c r="S7" i="33"/>
  <c r="H7" i="33"/>
  <c r="AB7" i="33"/>
  <c r="U7" i="33"/>
  <c r="D59" i="9"/>
  <c r="M55" i="9"/>
  <c r="AD3" i="71"/>
  <c r="P21" i="43"/>
  <c r="P22" i="43"/>
  <c r="P23" i="43"/>
  <c r="B71" i="39"/>
  <c r="P24" i="43"/>
  <c r="B66" i="40"/>
  <c r="P25" i="43"/>
  <c r="F26" i="15"/>
  <c r="F8" i="15"/>
  <c r="M28" i="67"/>
  <c r="AO12" i="1"/>
  <c r="F3" i="73"/>
  <c r="F43" i="79"/>
  <c r="M9" i="15"/>
  <c r="M22" i="15"/>
  <c r="F41" i="67"/>
  <c r="F7" i="78"/>
  <c r="F7" i="15"/>
  <c r="E13" i="76"/>
  <c r="AE7" i="1"/>
  <c r="D2" i="36"/>
  <c r="F36" i="15"/>
  <c r="F43" i="78"/>
  <c r="D2" i="21"/>
  <c r="F16" i="15"/>
  <c r="J15" i="67"/>
  <c r="D6" i="73"/>
  <c r="M29" i="80"/>
  <c r="F13" i="15"/>
  <c r="M6" i="67"/>
  <c r="F38" i="15"/>
  <c r="M21" i="67"/>
  <c r="E8" i="76"/>
  <c r="J15" i="15"/>
  <c r="F38" i="67"/>
  <c r="M8" i="15"/>
  <c r="C76" i="15"/>
  <c r="F42" i="67"/>
  <c r="AO13" i="1"/>
  <c r="F26" i="67"/>
  <c r="B9" i="76"/>
  <c r="F43" i="80"/>
  <c r="L48" i="15"/>
  <c r="M24" i="15"/>
  <c r="D4" i="73"/>
  <c r="AO10" i="1"/>
  <c r="L47" i="15"/>
  <c r="M9" i="67"/>
  <c r="M26" i="67"/>
  <c r="F40" i="67"/>
  <c r="D2" i="35"/>
  <c r="F6" i="15"/>
  <c r="L47" i="67"/>
  <c r="F37" i="15"/>
  <c r="B8" i="76"/>
  <c r="E11" i="76"/>
  <c r="M23" i="15"/>
  <c r="E9" i="76"/>
  <c r="F6" i="67"/>
  <c r="M23" i="67"/>
  <c r="D2" i="37"/>
  <c r="M27" i="15"/>
  <c r="M8" i="67"/>
  <c r="M6" i="15"/>
  <c r="F36" i="67"/>
  <c r="B11" i="76"/>
  <c r="D2" i="34"/>
  <c r="M27" i="67"/>
  <c r="F7" i="67"/>
  <c r="B13" i="76"/>
  <c r="E2" i="69"/>
  <c r="F35" i="67"/>
  <c r="F42" i="15"/>
  <c r="C76" i="67"/>
  <c r="M29" i="79"/>
  <c r="F9" i="15"/>
  <c r="B10" i="76"/>
  <c r="B7" i="76"/>
  <c r="E2" i="68"/>
  <c r="M28" i="15"/>
  <c r="M26" i="15"/>
  <c r="E7" i="76"/>
  <c r="E12" i="76"/>
  <c r="F13" i="67"/>
  <c r="AO11" i="1"/>
  <c r="D3" i="73"/>
  <c r="M22" i="67"/>
  <c r="AE8" i="1"/>
  <c r="M29" i="15"/>
  <c r="M24" i="67"/>
  <c r="F37" i="67"/>
  <c r="F16" i="67"/>
  <c r="F43" i="15"/>
  <c r="F5" i="73"/>
  <c r="F40" i="15"/>
  <c r="AE9" i="1"/>
  <c r="B12" i="76"/>
  <c r="F43" i="67"/>
  <c r="F9" i="67"/>
  <c r="L48" i="67"/>
  <c r="E10" i="76"/>
  <c r="M29" i="67"/>
  <c r="F20" i="31"/>
  <c r="F8" i="67"/>
  <c r="M29" i="78"/>
  <c r="F7" i="79"/>
  <c r="F31" i="79"/>
  <c r="D2" i="33"/>
  <c r="AA14" i="34"/>
  <c r="M7" i="79"/>
  <c r="F50" i="79"/>
  <c r="C6" i="79"/>
  <c r="F71" i="79"/>
  <c r="F71" i="78"/>
  <c r="M7" i="78"/>
  <c r="F50" i="78"/>
  <c r="C6" i="78"/>
  <c r="F71" i="80"/>
  <c r="AR11" i="1"/>
  <c r="T12" i="1"/>
  <c r="E14" i="6"/>
  <c r="E64" i="39"/>
  <c r="E11" i="6"/>
  <c r="E61" i="39"/>
  <c r="E10" i="6"/>
  <c r="M9" i="1"/>
  <c r="M8" i="1"/>
  <c r="G3" i="43"/>
  <c r="K101" i="43"/>
  <c r="C11" i="34"/>
  <c r="F126" i="34"/>
  <c r="G126" i="34"/>
  <c r="F44" i="34"/>
  <c r="AA44" i="34"/>
  <c r="J44" i="34"/>
  <c r="H44" i="34"/>
  <c r="AB44" i="34"/>
  <c r="AA39" i="34"/>
  <c r="F114" i="34"/>
  <c r="G114" i="34"/>
  <c r="H114" i="34"/>
  <c r="I114" i="34"/>
  <c r="J114" i="34"/>
  <c r="K114" i="34"/>
  <c r="L114" i="34"/>
  <c r="M114" i="34"/>
  <c r="S35" i="34"/>
  <c r="U38" i="34"/>
  <c r="AA38" i="34"/>
  <c r="E9" i="49"/>
  <c r="B10" i="49"/>
  <c r="G112" i="34"/>
  <c r="H112" i="34"/>
  <c r="I112" i="34"/>
  <c r="J112" i="34"/>
  <c r="K112" i="34"/>
  <c r="L112" i="34"/>
  <c r="M112" i="34"/>
  <c r="J37" i="34"/>
  <c r="H37" i="34"/>
  <c r="AB33" i="34"/>
  <c r="AC40" i="34"/>
  <c r="AB40" i="34"/>
  <c r="W41" i="34"/>
  <c r="AA41" i="34"/>
  <c r="S43" i="34"/>
  <c r="U44" i="34"/>
  <c r="S44" i="34"/>
  <c r="F86" i="34"/>
  <c r="G86" i="34"/>
  <c r="H23" i="34"/>
  <c r="U23" i="34"/>
  <c r="F23" i="34"/>
  <c r="J23" i="34"/>
  <c r="S15" i="34"/>
  <c r="F88" i="34"/>
  <c r="J25" i="34"/>
  <c r="AC25" i="34"/>
  <c r="F25" i="34"/>
  <c r="W25" i="34"/>
  <c r="AB23" i="34"/>
  <c r="S21" i="34"/>
  <c r="AB17" i="34"/>
  <c r="S17" i="34"/>
  <c r="W17" i="34"/>
  <c r="U15" i="34"/>
  <c r="W10" i="34"/>
  <c r="S9" i="34"/>
  <c r="C5" i="43"/>
  <c r="J53" i="15"/>
  <c r="E7" i="49"/>
  <c r="E4" i="49"/>
  <c r="B6" i="49"/>
  <c r="E21" i="49"/>
  <c r="B13" i="49"/>
  <c r="E6" i="49"/>
  <c r="B16" i="49"/>
  <c r="S9" i="33"/>
  <c r="T48" i="33"/>
  <c r="G48" i="33"/>
  <c r="G52" i="33"/>
  <c r="H52" i="33"/>
  <c r="AA7" i="33"/>
  <c r="R48" i="33"/>
  <c r="C28" i="15"/>
  <c r="C30" i="11"/>
  <c r="C36" i="68"/>
  <c r="C36" i="11"/>
  <c r="C24" i="12"/>
  <c r="C30" i="69"/>
  <c r="C48" i="68"/>
  <c r="E11" i="49"/>
  <c r="B8" i="49"/>
  <c r="B4" i="49"/>
  <c r="E5" i="49"/>
  <c r="E10" i="49"/>
  <c r="E8" i="49"/>
  <c r="E16" i="49"/>
  <c r="B5" i="49"/>
  <c r="E22" i="49"/>
  <c r="B14" i="49"/>
  <c r="B7" i="49"/>
  <c r="B22" i="49"/>
  <c r="E15" i="6"/>
  <c r="E65" i="39"/>
  <c r="C36" i="69"/>
  <c r="Q16" i="1"/>
  <c r="F27" i="69"/>
  <c r="E13" i="6"/>
  <c r="M7" i="1"/>
  <c r="D9" i="69"/>
  <c r="C9" i="69"/>
  <c r="F27" i="6"/>
  <c r="E56" i="39"/>
  <c r="E51" i="40"/>
  <c r="E12" i="6"/>
  <c r="E27" i="6"/>
  <c r="G30" i="6"/>
  <c r="G31" i="6"/>
  <c r="E28" i="6"/>
  <c r="H16" i="1"/>
  <c r="F22" i="43"/>
  <c r="N101" i="43"/>
  <c r="J101" i="43"/>
  <c r="H101" i="43"/>
  <c r="H105" i="43"/>
  <c r="E101" i="43"/>
  <c r="E106" i="43"/>
  <c r="AJ11" i="43"/>
  <c r="AJ13" i="43"/>
  <c r="AB11" i="43"/>
  <c r="AB13" i="43"/>
  <c r="AI11" i="43"/>
  <c r="AI13" i="43"/>
  <c r="AA11" i="43"/>
  <c r="AA13" i="43"/>
  <c r="S4" i="43"/>
  <c r="B113" i="43"/>
  <c r="E22" i="43"/>
  <c r="N104" i="46"/>
  <c r="D101" i="43"/>
  <c r="D104" i="43"/>
  <c r="G22" i="43"/>
  <c r="AD11" i="43"/>
  <c r="S5" i="43"/>
  <c r="AC11" i="43"/>
  <c r="C23" i="43"/>
  <c r="C21" i="43"/>
  <c r="J22" i="43"/>
  <c r="E59" i="40"/>
  <c r="AZ13" i="3"/>
  <c r="D9" i="68"/>
  <c r="C9" i="68"/>
  <c r="D19" i="12"/>
  <c r="C19" i="12"/>
  <c r="O8" i="1"/>
  <c r="P8" i="1"/>
  <c r="T13" i="1"/>
  <c r="AQ13" i="1"/>
  <c r="AR10" i="1"/>
  <c r="E56" i="40"/>
  <c r="G16" i="1"/>
  <c r="H10" i="40"/>
  <c r="R49" i="33"/>
  <c r="C49" i="33"/>
  <c r="E48" i="33"/>
  <c r="D65" i="40"/>
  <c r="E63" i="40"/>
  <c r="AC7" i="33"/>
  <c r="V48" i="33"/>
  <c r="I48" i="33"/>
  <c r="B20" i="31"/>
  <c r="F69" i="67"/>
  <c r="J20" i="67"/>
  <c r="F63" i="67"/>
  <c r="C62" i="67"/>
  <c r="C34" i="67"/>
  <c r="F68" i="67"/>
  <c r="F66" i="67"/>
  <c r="C27" i="15"/>
  <c r="N59" i="67"/>
  <c r="M59" i="67"/>
  <c r="L58" i="67"/>
  <c r="L59" i="67"/>
  <c r="F51" i="15"/>
  <c r="F68" i="15"/>
  <c r="L58" i="15"/>
  <c r="M59" i="15"/>
  <c r="N59" i="15"/>
  <c r="L59" i="15"/>
  <c r="F64" i="15"/>
  <c r="F65" i="15"/>
  <c r="I54" i="67"/>
  <c r="J57" i="67"/>
  <c r="J55" i="67"/>
  <c r="J58" i="67"/>
  <c r="Q50" i="67"/>
  <c r="L56" i="67"/>
  <c r="C6" i="15"/>
  <c r="C27" i="67"/>
  <c r="Q71" i="67"/>
  <c r="F70" i="67"/>
  <c r="F71" i="15"/>
  <c r="F64" i="67"/>
  <c r="F65" i="67"/>
  <c r="I54" i="15"/>
  <c r="L56" i="15"/>
  <c r="J57" i="15"/>
  <c r="J55" i="15"/>
  <c r="J58" i="15"/>
  <c r="Q50" i="15"/>
  <c r="Q71" i="15"/>
  <c r="F71" i="67"/>
  <c r="M7" i="67"/>
  <c r="J6" i="67"/>
  <c r="F50" i="67"/>
  <c r="F66" i="15"/>
  <c r="F51" i="67"/>
  <c r="C49" i="67"/>
  <c r="C6" i="67"/>
  <c r="M7" i="15"/>
  <c r="J6" i="15"/>
  <c r="F50" i="15"/>
  <c r="B10" i="70"/>
  <c r="B11" i="70"/>
  <c r="E20" i="43"/>
  <c r="K1" i="73"/>
  <c r="B12" i="70"/>
  <c r="B13" i="70"/>
  <c r="I52" i="33"/>
  <c r="J52" i="33"/>
  <c r="C48" i="33"/>
  <c r="D17" i="53"/>
  <c r="B36" i="72"/>
  <c r="D124" i="9"/>
  <c r="H48" i="35"/>
  <c r="I48" i="35"/>
  <c r="J48" i="35"/>
  <c r="K48" i="35"/>
  <c r="L48" i="35"/>
  <c r="M48" i="35"/>
  <c r="N48" i="35"/>
  <c r="O48" i="35"/>
  <c r="I46" i="36"/>
  <c r="J46" i="36"/>
  <c r="K46" i="36"/>
  <c r="L46" i="36"/>
  <c r="M46" i="36"/>
  <c r="N46" i="36"/>
  <c r="O46" i="36"/>
  <c r="H7" i="36"/>
  <c r="J7" i="36"/>
  <c r="G52" i="37"/>
  <c r="H52" i="37"/>
  <c r="I52" i="37"/>
  <c r="J52" i="37"/>
  <c r="K52" i="37"/>
  <c r="L52" i="37"/>
  <c r="M52" i="37"/>
  <c r="N52" i="37"/>
  <c r="O52" i="37"/>
  <c r="J58" i="21"/>
  <c r="P7" i="1"/>
  <c r="G59" i="34"/>
  <c r="E29" i="6"/>
  <c r="F30" i="6"/>
  <c r="F31" i="6"/>
  <c r="O11" i="1"/>
  <c r="C70" i="39"/>
  <c r="D68" i="39"/>
  <c r="K20" i="6"/>
  <c r="K21" i="6"/>
  <c r="K22" i="6"/>
  <c r="K25" i="6"/>
  <c r="M25" i="6"/>
  <c r="I25" i="6"/>
  <c r="S25" i="6"/>
  <c r="K23" i="6"/>
  <c r="M23" i="6"/>
  <c r="I23" i="6"/>
  <c r="S23" i="6"/>
  <c r="D9" i="53"/>
  <c r="B25" i="72"/>
  <c r="B24" i="72"/>
  <c r="AZ557" i="3"/>
  <c r="W17" i="21"/>
  <c r="J12" i="34"/>
  <c r="F12" i="35"/>
  <c r="H36" i="35"/>
  <c r="J36" i="35"/>
  <c r="F25" i="37"/>
  <c r="W31" i="35"/>
  <c r="AC31" i="35"/>
  <c r="G551" i="3"/>
  <c r="BL548" i="3"/>
  <c r="BL5" i="3"/>
  <c r="AZ439" i="3"/>
  <c r="J9" i="34"/>
  <c r="H9" i="34"/>
  <c r="J34" i="35"/>
  <c r="H34" i="35"/>
  <c r="F34" i="35"/>
  <c r="AZ398" i="3"/>
  <c r="AZ405" i="3"/>
  <c r="AZ407" i="3"/>
  <c r="AZ410" i="3"/>
  <c r="AZ415" i="3"/>
  <c r="AZ420" i="3"/>
  <c r="AZ426" i="3"/>
  <c r="AZ431"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M100" i="43"/>
  <c r="I100" i="43"/>
  <c r="E100" i="43"/>
  <c r="D100" i="43"/>
  <c r="D18" i="71"/>
  <c r="C19" i="71"/>
  <c r="D25" i="71"/>
  <c r="C26" i="71"/>
  <c r="C30" i="71"/>
  <c r="D30" i="71"/>
  <c r="D29" i="71"/>
  <c r="C34" i="71"/>
  <c r="D33" i="71"/>
  <c r="C38" i="71"/>
  <c r="D37" i="71"/>
  <c r="C42" i="71"/>
  <c r="D41" i="71"/>
  <c r="F13" i="71"/>
  <c r="F14" i="71"/>
  <c r="F15" i="71"/>
  <c r="V15" i="71"/>
  <c r="AC12" i="43"/>
  <c r="AC13" i="43"/>
  <c r="AC10" i="43"/>
  <c r="AG12" i="43"/>
  <c r="AG10" i="43"/>
  <c r="AB7" i="71"/>
  <c r="AA7" i="71"/>
  <c r="AA6" i="71"/>
  <c r="X6" i="71"/>
  <c r="AA5" i="71"/>
  <c r="X5" i="71"/>
  <c r="V11" i="71"/>
  <c r="AB11" i="71"/>
  <c r="AB9" i="71"/>
  <c r="AA14" i="71"/>
  <c r="F50" i="71"/>
  <c r="Z12" i="43"/>
  <c r="Z10" i="43"/>
  <c r="AD12" i="43"/>
  <c r="AD10" i="43"/>
  <c r="AH12" i="43"/>
  <c r="AH10" i="43"/>
  <c r="Y5" i="71"/>
  <c r="Z5" i="71"/>
  <c r="AB6" i="71"/>
  <c r="AB5" i="71"/>
  <c r="P74" i="67"/>
  <c r="X7" i="71"/>
  <c r="Y7" i="71"/>
  <c r="Z7" i="71"/>
  <c r="V7" i="71"/>
  <c r="B7" i="71"/>
  <c r="C7" i="71"/>
  <c r="Y6" i="71"/>
  <c r="Z6" i="71"/>
  <c r="F31" i="15"/>
  <c r="C16" i="15"/>
  <c r="D5" i="73"/>
  <c r="C14" i="67"/>
  <c r="M17" i="79"/>
  <c r="M17" i="15"/>
  <c r="M17" i="67"/>
  <c r="F59" i="15"/>
  <c r="F4" i="73"/>
  <c r="D7" i="73"/>
  <c r="F41" i="80"/>
  <c r="F59" i="67"/>
  <c r="C16" i="78"/>
  <c r="C16" i="80"/>
  <c r="C16" i="79"/>
  <c r="F31" i="78"/>
  <c r="F59" i="78"/>
  <c r="F6" i="73"/>
  <c r="F7" i="73"/>
  <c r="C17" i="67"/>
  <c r="M17" i="78"/>
  <c r="C16" i="67"/>
  <c r="F59" i="79"/>
  <c r="F31" i="67"/>
  <c r="F28" i="12"/>
  <c r="C29" i="12"/>
  <c r="D28" i="12"/>
  <c r="E60" i="40"/>
  <c r="O9" i="1"/>
  <c r="P9" i="1"/>
  <c r="J6" i="78"/>
  <c r="C49" i="79"/>
  <c r="C49" i="78"/>
  <c r="J6" i="79"/>
  <c r="AD13" i="43"/>
  <c r="S3" i="43"/>
  <c r="Y11" i="43"/>
  <c r="Y13" i="43"/>
  <c r="AG11" i="43"/>
  <c r="Z11" i="43"/>
  <c r="Z13" i="43"/>
  <c r="AH11" i="43"/>
  <c r="AH13" i="43"/>
  <c r="I101" i="43"/>
  <c r="I103" i="43"/>
  <c r="L101" i="43"/>
  <c r="L105" i="43"/>
  <c r="C101" i="43"/>
  <c r="F101" i="43"/>
  <c r="S7" i="43"/>
  <c r="S6" i="43"/>
  <c r="AE11" i="43"/>
  <c r="AE13" i="43"/>
  <c r="Z7" i="43"/>
  <c r="AF11" i="43"/>
  <c r="AF13" i="43"/>
  <c r="S2" i="43"/>
  <c r="M101" i="43"/>
  <c r="M107" i="43"/>
  <c r="H22" i="43"/>
  <c r="D22" i="43"/>
  <c r="G101" i="43"/>
  <c r="G102" i="43"/>
  <c r="H11" i="34"/>
  <c r="J11" i="34"/>
  <c r="F11" i="34"/>
  <c r="AG13" i="43"/>
  <c r="W44" i="34"/>
  <c r="AC44" i="34"/>
  <c r="F69" i="80"/>
  <c r="O7" i="1"/>
  <c r="AC37" i="34"/>
  <c r="W37" i="34"/>
  <c r="U37" i="34"/>
  <c r="AB37" i="34"/>
  <c r="AC23" i="34"/>
  <c r="W23" i="34"/>
  <c r="AA23" i="34"/>
  <c r="S23" i="34"/>
  <c r="S25" i="34"/>
  <c r="AA25" i="34"/>
  <c r="G88" i="34"/>
  <c r="H88" i="34"/>
  <c r="I88" i="34"/>
  <c r="J88" i="34"/>
  <c r="K88" i="34"/>
  <c r="L88" i="34"/>
  <c r="M88" i="34"/>
  <c r="H25" i="34"/>
  <c r="Q52" i="15"/>
  <c r="F1" i="15"/>
  <c r="M22" i="6"/>
  <c r="I22" i="6"/>
  <c r="S22" i="6"/>
  <c r="S9" i="1"/>
  <c r="F27" i="68"/>
  <c r="C29" i="68"/>
  <c r="D27" i="68"/>
  <c r="E53" i="33"/>
  <c r="F53" i="33"/>
  <c r="E52" i="33"/>
  <c r="F52" i="33"/>
  <c r="I53" i="33"/>
  <c r="J53" i="33"/>
  <c r="M21" i="6"/>
  <c r="I21" i="6"/>
  <c r="S21" i="6"/>
  <c r="S8" i="1"/>
  <c r="C29" i="69"/>
  <c r="D27" i="69"/>
  <c r="C47" i="69"/>
  <c r="D45" i="69"/>
  <c r="F27" i="11"/>
  <c r="C47" i="11"/>
  <c r="D45" i="11"/>
  <c r="M20" i="6"/>
  <c r="I20" i="6"/>
  <c r="S20" i="6"/>
  <c r="S7" i="1"/>
  <c r="L102" i="43"/>
  <c r="I106" i="43"/>
  <c r="L104" i="43"/>
  <c r="I102" i="43"/>
  <c r="E58" i="40"/>
  <c r="E63" i="39"/>
  <c r="E57" i="40"/>
  <c r="E62" i="39"/>
  <c r="E16" i="6"/>
  <c r="K14" i="1"/>
  <c r="K26" i="6"/>
  <c r="M26" i="6"/>
  <c r="I26" i="6"/>
  <c r="S26" i="6"/>
  <c r="K24" i="6"/>
  <c r="M24" i="6"/>
  <c r="I24" i="6"/>
  <c r="S24" i="6"/>
  <c r="K19" i="6"/>
  <c r="S6" i="1"/>
  <c r="E107" i="43"/>
  <c r="E105" i="43"/>
  <c r="E109" i="43"/>
  <c r="D107" i="43"/>
  <c r="H106" i="43"/>
  <c r="D103" i="43"/>
  <c r="I109" i="43"/>
  <c r="I107" i="43"/>
  <c r="I104" i="43"/>
  <c r="I105" i="43"/>
  <c r="L109" i="43"/>
  <c r="L107" i="43"/>
  <c r="L106" i="43"/>
  <c r="L103" i="43"/>
  <c r="C104" i="43"/>
  <c r="C107" i="43"/>
  <c r="C103" i="43"/>
  <c r="C109" i="43"/>
  <c r="C106" i="43"/>
  <c r="C105" i="43"/>
  <c r="C102" i="43"/>
  <c r="F104" i="43"/>
  <c r="F102" i="43"/>
  <c r="F105" i="43"/>
  <c r="F107" i="43"/>
  <c r="F106" i="43"/>
  <c r="F103" i="43"/>
  <c r="F109" i="43"/>
  <c r="M109" i="43"/>
  <c r="G105" i="43"/>
  <c r="G107" i="43"/>
  <c r="G106" i="43"/>
  <c r="G103" i="43"/>
  <c r="K103" i="43"/>
  <c r="K102" i="43"/>
  <c r="K105" i="43"/>
  <c r="K107" i="43"/>
  <c r="K104" i="43"/>
  <c r="K106" i="43"/>
  <c r="K109" i="43"/>
  <c r="D109" i="43"/>
  <c r="D105" i="43"/>
  <c r="D102" i="43"/>
  <c r="D106" i="43"/>
  <c r="B115" i="43"/>
  <c r="D116" i="43"/>
  <c r="E116" i="43"/>
  <c r="F116" i="43"/>
  <c r="G116" i="43"/>
  <c r="H116" i="43"/>
  <c r="G118" i="43"/>
  <c r="H118" i="43"/>
  <c r="B118" i="43"/>
  <c r="C118" i="43"/>
  <c r="I116" i="43"/>
  <c r="J116" i="43"/>
  <c r="K116" i="43"/>
  <c r="L116" i="43"/>
  <c r="M116"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E104" i="43"/>
  <c r="E102" i="43"/>
  <c r="E103" i="43"/>
  <c r="H107" i="43"/>
  <c r="H103" i="43"/>
  <c r="H109" i="43"/>
  <c r="H102" i="43"/>
  <c r="H104" i="43"/>
  <c r="J104" i="43"/>
  <c r="J105" i="43"/>
  <c r="J107" i="43"/>
  <c r="J102" i="43"/>
  <c r="J103" i="43"/>
  <c r="J106" i="43"/>
  <c r="J109" i="43"/>
  <c r="N102" i="43"/>
  <c r="N105" i="43"/>
  <c r="N104" i="43"/>
  <c r="N103" i="43"/>
  <c r="N106" i="43"/>
  <c r="N107" i="43"/>
  <c r="N109" i="43"/>
  <c r="J10" i="39"/>
  <c r="W10" i="39"/>
  <c r="H10" i="39"/>
  <c r="U10" i="39"/>
  <c r="F10" i="39"/>
  <c r="S10" i="39"/>
  <c r="U10" i="40"/>
  <c r="AB10" i="40"/>
  <c r="J10" i="40"/>
  <c r="W10" i="40"/>
  <c r="F10" i="40"/>
  <c r="S10" i="40"/>
  <c r="F7" i="37"/>
  <c r="J7" i="37"/>
  <c r="J7" i="35"/>
  <c r="W7" i="35"/>
  <c r="F7" i="35"/>
  <c r="G53" i="33"/>
  <c r="H53" i="33"/>
  <c r="E65" i="40"/>
  <c r="F63" i="40"/>
  <c r="AB10" i="39"/>
  <c r="AA10" i="40"/>
  <c r="I1" i="73"/>
  <c r="B39" i="1"/>
  <c r="C15" i="67"/>
  <c r="C18" i="67"/>
  <c r="C6" i="71"/>
  <c r="T7" i="71"/>
  <c r="D7" i="71"/>
  <c r="U7" i="71"/>
  <c r="D26" i="71"/>
  <c r="C27" i="71"/>
  <c r="T19" i="71"/>
  <c r="D19" i="71"/>
  <c r="AA34" i="35"/>
  <c r="S34" i="35"/>
  <c r="AC34" i="35"/>
  <c r="W34" i="35"/>
  <c r="AC9" i="34"/>
  <c r="W9" i="34"/>
  <c r="AA25" i="37"/>
  <c r="S25" i="37"/>
  <c r="AB36" i="35"/>
  <c r="U36" i="35"/>
  <c r="W12" i="34"/>
  <c r="AC12" i="34"/>
  <c r="K58" i="21"/>
  <c r="L58" i="21"/>
  <c r="M58" i="21"/>
  <c r="N58" i="21"/>
  <c r="O58" i="21"/>
  <c r="S7" i="37"/>
  <c r="AA7" i="37"/>
  <c r="R42" i="37"/>
  <c r="AC7" i="37"/>
  <c r="V42" i="37"/>
  <c r="I42" i="37"/>
  <c r="W7" i="37"/>
  <c r="W7" i="36"/>
  <c r="AC7" i="36"/>
  <c r="V36" i="36"/>
  <c r="I36" i="36"/>
  <c r="AB7" i="36"/>
  <c r="T36" i="36"/>
  <c r="G36" i="36"/>
  <c r="U7" i="36"/>
  <c r="AC7" i="35"/>
  <c r="V38" i="35"/>
  <c r="I38" i="35"/>
  <c r="AA7" i="35"/>
  <c r="R38" i="35"/>
  <c r="S7" i="35"/>
  <c r="Q61" i="15"/>
  <c r="Q74" i="15"/>
  <c r="Q74" i="67"/>
  <c r="Q61" i="67"/>
  <c r="B6" i="71"/>
  <c r="B5" i="71"/>
  <c r="S7" i="71"/>
  <c r="Q50" i="71"/>
  <c r="F49" i="71"/>
  <c r="D42" i="71"/>
  <c r="C43" i="71"/>
  <c r="D38" i="71"/>
  <c r="C39" i="71"/>
  <c r="D34" i="71"/>
  <c r="C35" i="71"/>
  <c r="U34" i="35"/>
  <c r="AB34" i="35"/>
  <c r="U9" i="34"/>
  <c r="AB9" i="34"/>
  <c r="G5" i="3"/>
  <c r="B3" i="3"/>
  <c r="AC36" i="35"/>
  <c r="W36" i="35"/>
  <c r="S12" i="35"/>
  <c r="AA12" i="35"/>
  <c r="AZ548" i="3"/>
  <c r="AZ5" i="3"/>
  <c r="D70" i="39"/>
  <c r="E68" i="39"/>
  <c r="P11" i="1"/>
  <c r="K15" i="1"/>
  <c r="K16" i="1"/>
  <c r="E30" i="6"/>
  <c r="E31" i="6"/>
  <c r="H59" i="34"/>
  <c r="J7" i="21"/>
  <c r="H7" i="37"/>
  <c r="F7" i="36"/>
  <c r="H7" i="35"/>
  <c r="H14" i="74"/>
  <c r="B7" i="74"/>
  <c r="D10" i="52"/>
  <c r="D125" i="9"/>
  <c r="D11" i="52"/>
  <c r="O17" i="43"/>
  <c r="P17" i="43"/>
  <c r="N17" i="43"/>
  <c r="M17" i="43"/>
  <c r="Q73" i="15"/>
  <c r="Q60" i="15"/>
  <c r="C49" i="15"/>
  <c r="Q60" i="67"/>
  <c r="Q73" i="67"/>
  <c r="G1" i="73"/>
  <c r="C17" i="78"/>
  <c r="AE6" i="1"/>
  <c r="C17" i="79"/>
  <c r="F41" i="78"/>
  <c r="C17" i="80"/>
  <c r="C17" i="15"/>
  <c r="AC10" i="39"/>
  <c r="C29" i="11"/>
  <c r="D27" i="11"/>
  <c r="G109" i="43"/>
  <c r="G104" i="43"/>
  <c r="M106" i="43"/>
  <c r="E6" i="70"/>
  <c r="E9" i="70"/>
  <c r="E8" i="70"/>
  <c r="E7" i="70"/>
  <c r="S11" i="34"/>
  <c r="AA11" i="34"/>
  <c r="U11" i="34"/>
  <c r="AB11" i="34"/>
  <c r="AC11" i="34"/>
  <c r="W11" i="34"/>
  <c r="M103" i="43"/>
  <c r="M102" i="43"/>
  <c r="M105" i="43"/>
  <c r="M104" i="43"/>
  <c r="AA10" i="39"/>
  <c r="B40" i="1"/>
  <c r="F24" i="80"/>
  <c r="AB25" i="34"/>
  <c r="U25" i="34"/>
  <c r="F11" i="80"/>
  <c r="M11" i="80"/>
  <c r="J10" i="80"/>
  <c r="J5" i="80"/>
  <c r="M11" i="79"/>
  <c r="J10" i="79"/>
  <c r="J5" i="79"/>
  <c r="F11" i="79"/>
  <c r="F69" i="78"/>
  <c r="F11" i="78"/>
  <c r="M11" i="78"/>
  <c r="J10" i="78"/>
  <c r="J5" i="78"/>
  <c r="AR9" i="1"/>
  <c r="AQ9" i="1"/>
  <c r="T9" i="1"/>
  <c r="C47" i="68"/>
  <c r="D45" i="68"/>
  <c r="AQ8" i="1"/>
  <c r="T8" i="1"/>
  <c r="AR8" i="1"/>
  <c r="T7" i="1"/>
  <c r="AR7" i="1"/>
  <c r="AQ7" i="1"/>
  <c r="E66" i="39"/>
  <c r="AQ6" i="1"/>
  <c r="AR6" i="1"/>
  <c r="T6" i="1"/>
  <c r="S16" i="1"/>
  <c r="M14" i="1"/>
  <c r="C34" i="69"/>
  <c r="M19" i="6"/>
  <c r="K27" i="6"/>
  <c r="C115" i="43"/>
  <c r="D113" i="43"/>
  <c r="AC10" i="40"/>
  <c r="F7" i="21"/>
  <c r="C19" i="67"/>
  <c r="C20" i="67"/>
  <c r="C26" i="67"/>
  <c r="G63" i="40"/>
  <c r="F65" i="40"/>
  <c r="AY6" i="3"/>
  <c r="E3" i="6"/>
  <c r="AB7" i="35"/>
  <c r="T38" i="35"/>
  <c r="G38" i="35"/>
  <c r="U7" i="35"/>
  <c r="U7" i="37"/>
  <c r="AB7" i="37"/>
  <c r="T42" i="37"/>
  <c r="G42" i="37"/>
  <c r="I59" i="34"/>
  <c r="F68" i="39"/>
  <c r="E70"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5"/>
  <c r="I43" i="35"/>
  <c r="J43" i="35"/>
  <c r="R39" i="35"/>
  <c r="I42" i="35"/>
  <c r="J42" i="35"/>
  <c r="G40" i="36"/>
  <c r="H40" i="36"/>
  <c r="G41" i="36"/>
  <c r="H41" i="36"/>
  <c r="I46" i="37"/>
  <c r="J46" i="37"/>
  <c r="H7" i="21"/>
  <c r="AA7" i="36"/>
  <c r="R36" i="36"/>
  <c r="S7" i="36"/>
  <c r="AC7" i="21"/>
  <c r="V48" i="21"/>
  <c r="I48" i="21"/>
  <c r="W7" i="21"/>
  <c r="E551" i="3"/>
  <c r="T35" i="71"/>
  <c r="D35" i="71"/>
  <c r="T39" i="71"/>
  <c r="D39" i="71"/>
  <c r="T43" i="71"/>
  <c r="D43" i="71"/>
  <c r="Q49" i="71"/>
  <c r="Q48" i="71"/>
  <c r="I40" i="36"/>
  <c r="J40" i="36"/>
  <c r="E42" i="37"/>
  <c r="I47" i="37"/>
  <c r="J47" i="37"/>
  <c r="R43" i="37"/>
  <c r="S7" i="21"/>
  <c r="AA7" i="21"/>
  <c r="R48" i="21"/>
  <c r="T27" i="71"/>
  <c r="D27" i="71"/>
  <c r="C5" i="71"/>
  <c r="D5" i="71"/>
  <c r="D6" i="71"/>
  <c r="M20" i="43"/>
  <c r="C19" i="43"/>
  <c r="M11" i="15"/>
  <c r="J10" i="15"/>
  <c r="J5" i="15"/>
  <c r="F11" i="67"/>
  <c r="M11" i="67"/>
  <c r="J10" i="67"/>
  <c r="J5" i="67"/>
  <c r="F11" i="15"/>
  <c r="C14" i="80"/>
  <c r="C14" i="78"/>
  <c r="F41" i="79"/>
  <c r="F41" i="15"/>
  <c r="C14" i="15"/>
  <c r="C14" i="79"/>
  <c r="C15" i="15"/>
  <c r="C18" i="15"/>
  <c r="C18" i="79"/>
  <c r="C15" i="79"/>
  <c r="C18" i="80"/>
  <c r="C15" i="80"/>
  <c r="C18" i="78"/>
  <c r="C15" i="78"/>
  <c r="D23" i="77"/>
  <c r="E2" i="70"/>
  <c r="C24" i="80"/>
  <c r="F22" i="11"/>
  <c r="C44" i="11"/>
  <c r="D41" i="11"/>
  <c r="F69" i="15"/>
  <c r="F22" i="68"/>
  <c r="C23" i="68"/>
  <c r="F25" i="12"/>
  <c r="C26" i="12"/>
  <c r="D25" i="12"/>
  <c r="F24" i="78"/>
  <c r="C24" i="78"/>
  <c r="F24" i="67"/>
  <c r="C24" i="67"/>
  <c r="F22" i="69"/>
  <c r="C44" i="69"/>
  <c r="D41" i="69"/>
  <c r="F24" i="15"/>
  <c r="C24" i="15"/>
  <c r="F24" i="79"/>
  <c r="F69" i="79"/>
  <c r="J26" i="80"/>
  <c r="J29" i="80"/>
  <c r="J24" i="80"/>
  <c r="J18" i="80"/>
  <c r="C53" i="80"/>
  <c r="C48" i="80"/>
  <c r="C10" i="80"/>
  <c r="C5" i="80"/>
  <c r="J26" i="79"/>
  <c r="J29" i="79"/>
  <c r="J24" i="79"/>
  <c r="J18" i="79"/>
  <c r="C53" i="79"/>
  <c r="C48" i="79"/>
  <c r="C10" i="79"/>
  <c r="C5" i="79"/>
  <c r="C53" i="78"/>
  <c r="C48" i="78"/>
  <c r="C10" i="78"/>
  <c r="C5" i="78"/>
  <c r="J26" i="78"/>
  <c r="J29" i="78"/>
  <c r="J24" i="78"/>
  <c r="J18" i="78"/>
  <c r="M27" i="6"/>
  <c r="I19" i="6"/>
  <c r="C35" i="69"/>
  <c r="C38" i="69"/>
  <c r="M16" i="1"/>
  <c r="N16" i="1"/>
  <c r="O14" i="1"/>
  <c r="T16" i="1"/>
  <c r="AC6" i="3"/>
  <c r="E6" i="3"/>
  <c r="H6" i="3"/>
  <c r="H63" i="40"/>
  <c r="G65" i="40"/>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C37" i="43"/>
  <c r="C35" i="43"/>
  <c r="C38" i="43"/>
  <c r="C29" i="43"/>
  <c r="C33" i="43"/>
  <c r="C34" i="43"/>
  <c r="C36" i="43"/>
  <c r="R49" i="21"/>
  <c r="E48" i="21"/>
  <c r="C42" i="37"/>
  <c r="C43" i="37"/>
  <c r="U7" i="21"/>
  <c r="AB7" i="21"/>
  <c r="T48" i="21"/>
  <c r="G48" i="21"/>
  <c r="J18" i="67"/>
  <c r="J24" i="67"/>
  <c r="J26" i="67"/>
  <c r="J29" i="67"/>
  <c r="J18" i="15"/>
  <c r="J24" i="15"/>
  <c r="J26" i="15"/>
  <c r="J29" i="15"/>
  <c r="E47" i="37"/>
  <c r="F47" i="37"/>
  <c r="E46" i="37"/>
  <c r="F46" i="37"/>
  <c r="C38" i="35"/>
  <c r="C39" i="35"/>
  <c r="B2" i="35"/>
  <c r="B3" i="35"/>
  <c r="G68" i="39"/>
  <c r="F70" i="39"/>
  <c r="J59" i="34"/>
  <c r="G42" i="35"/>
  <c r="H42" i="35"/>
  <c r="G43" i="35"/>
  <c r="H43"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I53" i="21"/>
  <c r="J53" i="21"/>
  <c r="I52" i="21"/>
  <c r="J52" i="21"/>
  <c r="E36" i="36"/>
  <c r="R37" i="36"/>
  <c r="E43" i="35"/>
  <c r="F43" i="35"/>
  <c r="E42" i="35"/>
  <c r="F42" i="35"/>
  <c r="G46" i="37"/>
  <c r="H46" i="37"/>
  <c r="G47" i="37"/>
  <c r="H47" i="37"/>
  <c r="D3" i="34"/>
  <c r="D3" i="33"/>
  <c r="B2" i="33"/>
  <c r="E6" i="6"/>
  <c r="C17" i="4"/>
  <c r="L18" i="9"/>
  <c r="D3" i="37"/>
  <c r="D3" i="21"/>
  <c r="D19" i="11"/>
  <c r="C19" i="11"/>
  <c r="D37" i="11"/>
  <c r="C37" i="11"/>
  <c r="D14" i="12"/>
  <c r="M18" i="9"/>
  <c r="B118" i="9"/>
  <c r="B14" i="74"/>
  <c r="B1" i="74"/>
  <c r="C26" i="68"/>
  <c r="D22" i="68"/>
  <c r="C23" i="11"/>
  <c r="C19" i="15"/>
  <c r="C20" i="15"/>
  <c r="C26" i="15"/>
  <c r="C19" i="80"/>
  <c r="C20" i="80"/>
  <c r="C26" i="80"/>
  <c r="C19" i="79"/>
  <c r="C20" i="79"/>
  <c r="C26" i="79"/>
  <c r="C19" i="78"/>
  <c r="C20" i="78"/>
  <c r="C26" i="78"/>
  <c r="B4" i="52"/>
  <c r="B43" i="72"/>
  <c r="C34" i="34"/>
  <c r="C44" i="68"/>
  <c r="D41" i="68"/>
  <c r="C24" i="79"/>
  <c r="C26" i="11"/>
  <c r="D22" i="11"/>
  <c r="C23" i="67"/>
  <c r="C29" i="67"/>
  <c r="C26" i="69"/>
  <c r="D22" i="69"/>
  <c r="C66" i="80"/>
  <c r="C60" i="80"/>
  <c r="C38" i="80"/>
  <c r="C33" i="80"/>
  <c r="C32" i="80"/>
  <c r="C38" i="79"/>
  <c r="C33" i="79"/>
  <c r="C32" i="79"/>
  <c r="C66" i="79"/>
  <c r="C60" i="79"/>
  <c r="C38" i="78"/>
  <c r="C32" i="78"/>
  <c r="C33" i="78"/>
  <c r="C66" i="78"/>
  <c r="C60" i="78"/>
  <c r="B3" i="33"/>
  <c r="F50" i="69"/>
  <c r="F50" i="68"/>
  <c r="F50" i="11"/>
  <c r="P14" i="1"/>
  <c r="P16" i="1"/>
  <c r="C11" i="12"/>
  <c r="O16" i="1"/>
  <c r="I27" i="6"/>
  <c r="S19" i="6"/>
  <c r="S27" i="6"/>
  <c r="C34" i="11"/>
  <c r="L16" i="1"/>
  <c r="C34" i="68"/>
  <c r="J59" i="15"/>
  <c r="J60" i="15"/>
  <c r="C33" i="15"/>
  <c r="H65" i="40"/>
  <c r="I63" i="40"/>
  <c r="D17" i="12"/>
  <c r="C17" i="12"/>
  <c r="C14" i="12"/>
  <c r="C20" i="11"/>
  <c r="C25" i="11"/>
  <c r="C24" i="11"/>
  <c r="E40" i="36"/>
  <c r="F40" i="36"/>
  <c r="E41" i="36"/>
  <c r="F41" i="36"/>
  <c r="I41" i="36"/>
  <c r="J41" i="36"/>
  <c r="C60" i="67"/>
  <c r="C66" i="67"/>
  <c r="C66" i="15"/>
  <c r="C60" i="15"/>
  <c r="B2" i="37"/>
  <c r="B3" i="37"/>
  <c r="E52" i="21"/>
  <c r="F52" i="21"/>
  <c r="E53" i="21"/>
  <c r="F53" i="21"/>
  <c r="G34" i="43"/>
  <c r="I34" i="43"/>
  <c r="E34" i="43"/>
  <c r="C30" i="43"/>
  <c r="E30" i="43"/>
  <c r="E29" i="43"/>
  <c r="G35" i="43"/>
  <c r="I35" i="43"/>
  <c r="E35" i="43"/>
  <c r="G39" i="43"/>
  <c r="I39" i="43"/>
  <c r="E39" i="43"/>
  <c r="C7" i="74"/>
  <c r="D10" i="11"/>
  <c r="C10" i="11"/>
  <c r="D20" i="12"/>
  <c r="C20" i="12"/>
  <c r="C18" i="12"/>
  <c r="D10" i="68"/>
  <c r="D10" i="69"/>
  <c r="C37" i="36"/>
  <c r="B2" i="36"/>
  <c r="B3" i="36"/>
  <c r="C36" i="36"/>
  <c r="C32" i="67"/>
  <c r="C38" i="67"/>
  <c r="C32" i="15"/>
  <c r="C38" i="15"/>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H19" i="6"/>
  <c r="K59" i="34"/>
  <c r="L59" i="34"/>
  <c r="M59" i="34"/>
  <c r="N59" i="34"/>
  <c r="O59" i="34"/>
  <c r="J7" i="34"/>
  <c r="F7" i="34"/>
  <c r="H68" i="39"/>
  <c r="G70" i="39"/>
  <c r="G52" i="21"/>
  <c r="H52" i="21"/>
  <c r="G53" i="21"/>
  <c r="H53" i="21"/>
  <c r="C48" i="21"/>
  <c r="C49" i="21"/>
  <c r="B2" i="21"/>
  <c r="B3" i="21"/>
  <c r="G36" i="43"/>
  <c r="I36" i="43"/>
  <c r="E36" i="43"/>
  <c r="G33" i="43"/>
  <c r="I33" i="43"/>
  <c r="E33" i="43"/>
  <c r="G38" i="43"/>
  <c r="I38" i="43"/>
  <c r="E38" i="43"/>
  <c r="G37" i="43"/>
  <c r="I37" i="43"/>
  <c r="E37" i="43"/>
  <c r="C23" i="79"/>
  <c r="C29" i="79"/>
  <c r="C23" i="15"/>
  <c r="C29" i="15"/>
  <c r="C23" i="80"/>
  <c r="C29" i="80"/>
  <c r="J34" i="34"/>
  <c r="F34" i="34"/>
  <c r="H34" i="34"/>
  <c r="C23" i="78"/>
  <c r="C29" i="78"/>
  <c r="J14" i="67"/>
  <c r="J13" i="67"/>
  <c r="J23" i="67"/>
  <c r="C36" i="67"/>
  <c r="Q49" i="67"/>
  <c r="C57" i="67"/>
  <c r="C64" i="67"/>
  <c r="C13" i="67"/>
  <c r="C56" i="67"/>
  <c r="C65" i="67"/>
  <c r="J59" i="67"/>
  <c r="J60" i="67"/>
  <c r="Q48" i="67"/>
  <c r="C33" i="67"/>
  <c r="C31" i="67"/>
  <c r="J19" i="67"/>
  <c r="J17" i="67"/>
  <c r="Q48" i="15"/>
  <c r="C22" i="11"/>
  <c r="H27" i="6"/>
  <c r="C15" i="12"/>
  <c r="C12" i="12"/>
  <c r="C35" i="68"/>
  <c r="C38" i="68"/>
  <c r="C35" i="11"/>
  <c r="C38" i="11"/>
  <c r="D16" i="6"/>
  <c r="I65" i="40"/>
  <c r="J63" i="40"/>
  <c r="S7" i="34"/>
  <c r="AA7" i="34"/>
  <c r="R23" i="6"/>
  <c r="A7" i="51"/>
  <c r="B7" i="72"/>
  <c r="C4" i="52"/>
  <c r="B45" i="72"/>
  <c r="A10" i="51"/>
  <c r="B9" i="72"/>
  <c r="D27" i="6"/>
  <c r="D31" i="6"/>
  <c r="R19" i="6"/>
  <c r="R24" i="6"/>
  <c r="R22" i="6"/>
  <c r="R9" i="1"/>
  <c r="R25" i="6"/>
  <c r="C10" i="69"/>
  <c r="C8" i="69"/>
  <c r="C5" i="69"/>
  <c r="D19" i="69"/>
  <c r="C26" i="43"/>
  <c r="C28" i="11"/>
  <c r="C27" i="11"/>
  <c r="I68" i="39"/>
  <c r="H70" i="39"/>
  <c r="AC7" i="34"/>
  <c r="W7" i="34"/>
  <c r="J22" i="67"/>
  <c r="R26" i="6"/>
  <c r="D7" i="74"/>
  <c r="R21" i="6"/>
  <c r="R8" i="1"/>
  <c r="C10" i="68"/>
  <c r="D19" i="68"/>
  <c r="C27" i="43"/>
  <c r="H7" i="34"/>
  <c r="F35" i="80"/>
  <c r="M21" i="80"/>
  <c r="E6" i="76"/>
  <c r="C57" i="79"/>
  <c r="C61" i="79"/>
  <c r="J19" i="79"/>
  <c r="J14" i="79"/>
  <c r="J13" i="79"/>
  <c r="J23" i="79"/>
  <c r="C36" i="79"/>
  <c r="Q49" i="79"/>
  <c r="C13" i="79"/>
  <c r="C75" i="79"/>
  <c r="C57" i="15"/>
  <c r="J19" i="15"/>
  <c r="Q49" i="15"/>
  <c r="J14" i="15"/>
  <c r="C13" i="15"/>
  <c r="C36" i="15"/>
  <c r="C61" i="67"/>
  <c r="C59" i="67"/>
  <c r="C58" i="67"/>
  <c r="C67" i="67"/>
  <c r="C68" i="67"/>
  <c r="C71" i="67"/>
  <c r="Q70" i="67"/>
  <c r="C36" i="80"/>
  <c r="J14" i="80"/>
  <c r="Q49" i="80"/>
  <c r="C57" i="80"/>
  <c r="J19" i="80"/>
  <c r="C13" i="80"/>
  <c r="C36" i="78"/>
  <c r="C57" i="78"/>
  <c r="J19" i="78"/>
  <c r="J14" i="78"/>
  <c r="C13" i="78"/>
  <c r="Q49" i="78"/>
  <c r="AA34" i="34"/>
  <c r="R49" i="34"/>
  <c r="E49" i="34"/>
  <c r="S34" i="34"/>
  <c r="AB34" i="34"/>
  <c r="U34" i="34"/>
  <c r="AC34" i="34"/>
  <c r="V49" i="34"/>
  <c r="I49" i="34"/>
  <c r="I53" i="34"/>
  <c r="J53" i="34"/>
  <c r="W34" i="34"/>
  <c r="C37" i="67"/>
  <c r="C30" i="67"/>
  <c r="C39" i="67"/>
  <c r="C40" i="67"/>
  <c r="C75" i="67"/>
  <c r="L46" i="67"/>
  <c r="C34" i="80"/>
  <c r="C31" i="80"/>
  <c r="F63" i="80"/>
  <c r="C62" i="80"/>
  <c r="J20" i="80"/>
  <c r="C31" i="11"/>
  <c r="C33" i="11"/>
  <c r="C42" i="11"/>
  <c r="R27" i="6"/>
  <c r="R6" i="1"/>
  <c r="C16" i="12"/>
  <c r="C21" i="12"/>
  <c r="C22" i="12"/>
  <c r="C30" i="12"/>
  <c r="C28" i="12"/>
  <c r="C39" i="11"/>
  <c r="C43" i="11"/>
  <c r="J16" i="67"/>
  <c r="J25" i="67"/>
  <c r="K63" i="40"/>
  <c r="J65" i="40"/>
  <c r="E2" i="76"/>
  <c r="U7" i="34"/>
  <c r="AB7" i="34"/>
  <c r="T49" i="34"/>
  <c r="G49" i="34"/>
  <c r="C19" i="68"/>
  <c r="D37" i="68"/>
  <c r="C37" i="68"/>
  <c r="C33" i="68"/>
  <c r="C23" i="69"/>
  <c r="I6" i="6"/>
  <c r="I5" i="6"/>
  <c r="J68" i="39"/>
  <c r="I70" i="39"/>
  <c r="B2" i="43"/>
  <c r="C19" i="69"/>
  <c r="C24" i="69"/>
  <c r="D37" i="69"/>
  <c r="C37" i="69"/>
  <c r="C33" i="69"/>
  <c r="M21" i="78"/>
  <c r="M21" i="15"/>
  <c r="M21" i="79"/>
  <c r="F35" i="79"/>
  <c r="F35" i="78"/>
  <c r="F35" i="15"/>
  <c r="B6" i="76"/>
  <c r="C92" i="9"/>
  <c r="C56" i="79"/>
  <c r="C65" i="79"/>
  <c r="J22" i="79"/>
  <c r="Q70" i="79"/>
  <c r="C37" i="79"/>
  <c r="C64" i="79"/>
  <c r="J22" i="15"/>
  <c r="J13" i="15"/>
  <c r="J23" i="15"/>
  <c r="C56" i="15"/>
  <c r="C65" i="15"/>
  <c r="C75" i="15"/>
  <c r="Q70" i="15"/>
  <c r="C37" i="15"/>
  <c r="C61" i="15"/>
  <c r="C64" i="15"/>
  <c r="J17" i="80"/>
  <c r="C75" i="80"/>
  <c r="C37" i="80"/>
  <c r="C30" i="80"/>
  <c r="C39" i="80"/>
  <c r="Q70" i="80"/>
  <c r="C56" i="80"/>
  <c r="C65" i="80"/>
  <c r="C64" i="80"/>
  <c r="C61" i="80"/>
  <c r="C59" i="80"/>
  <c r="J13" i="80"/>
  <c r="J23" i="80"/>
  <c r="J22" i="80"/>
  <c r="I54" i="34"/>
  <c r="J54" i="34"/>
  <c r="J13" i="78"/>
  <c r="J23" i="78"/>
  <c r="J22" i="78"/>
  <c r="C64" i="78"/>
  <c r="C61" i="78"/>
  <c r="Q70" i="78"/>
  <c r="C37" i="78"/>
  <c r="C75" i="78"/>
  <c r="C56" i="78"/>
  <c r="C65" i="78"/>
  <c r="R50" i="34"/>
  <c r="C50" i="34"/>
  <c r="B2" i="34"/>
  <c r="F63" i="79"/>
  <c r="C62" i="79"/>
  <c r="C59" i="79"/>
  <c r="C58" i="79"/>
  <c r="C67" i="79"/>
  <c r="C68" i="79"/>
  <c r="C34" i="79"/>
  <c r="C31" i="79"/>
  <c r="C30" i="79"/>
  <c r="C39" i="79"/>
  <c r="C80" i="79"/>
  <c r="C79" i="79"/>
  <c r="J20" i="79"/>
  <c r="J17" i="79"/>
  <c r="F63" i="78"/>
  <c r="C62" i="78"/>
  <c r="C34" i="78"/>
  <c r="C31" i="78"/>
  <c r="C30" i="78"/>
  <c r="C39" i="78"/>
  <c r="J20" i="78"/>
  <c r="J17" i="78"/>
  <c r="J20" i="15"/>
  <c r="J17" i="15"/>
  <c r="F63" i="15"/>
  <c r="C62" i="15"/>
  <c r="C34" i="15"/>
  <c r="C31" i="15"/>
  <c r="C30" i="15"/>
  <c r="C39" i="15"/>
  <c r="R16" i="1"/>
  <c r="C41" i="11"/>
  <c r="C46" i="11"/>
  <c r="C45" i="11"/>
  <c r="C80" i="67"/>
  <c r="C79" i="67"/>
  <c r="C45" i="67"/>
  <c r="C46" i="67"/>
  <c r="Q69" i="67"/>
  <c r="Q68" i="67"/>
  <c r="K65" i="40"/>
  <c r="L63" i="40"/>
  <c r="B2" i="76"/>
  <c r="B3" i="76"/>
  <c r="C27" i="12"/>
  <c r="C25" i="12"/>
  <c r="C32" i="12"/>
  <c r="B2" i="12"/>
  <c r="B3" i="12"/>
  <c r="C42" i="69"/>
  <c r="C39" i="69"/>
  <c r="C43" i="69"/>
  <c r="B3" i="43"/>
  <c r="K68" i="39"/>
  <c r="J70" i="39"/>
  <c r="C20" i="69"/>
  <c r="C25" i="69"/>
  <c r="C22" i="69"/>
  <c r="Q65" i="67"/>
  <c r="Q56" i="67"/>
  <c r="Q47" i="67"/>
  <c r="Q53" i="67"/>
  <c r="D2" i="67"/>
  <c r="C43" i="67"/>
  <c r="C83" i="67"/>
  <c r="C82" i="67"/>
  <c r="C24" i="68"/>
  <c r="C20" i="68"/>
  <c r="C25" i="68"/>
  <c r="E54" i="34"/>
  <c r="F54" i="34"/>
  <c r="E53" i="34"/>
  <c r="F53" i="34"/>
  <c r="C39" i="68"/>
  <c r="C43" i="68"/>
  <c r="C42" i="68"/>
  <c r="G53" i="34"/>
  <c r="H53" i="34"/>
  <c r="G54" i="34"/>
  <c r="H54" i="34"/>
  <c r="L51" i="67"/>
  <c r="L51" i="80"/>
  <c r="C19" i="9"/>
  <c r="J16" i="79"/>
  <c r="J25" i="79"/>
  <c r="J16" i="15"/>
  <c r="J25" i="15"/>
  <c r="L57" i="67"/>
  <c r="L60" i="67"/>
  <c r="Q66" i="67"/>
  <c r="Q75" i="67"/>
  <c r="Q67" i="67"/>
  <c r="C59" i="78"/>
  <c r="C58" i="78"/>
  <c r="C67" i="78"/>
  <c r="C68" i="78"/>
  <c r="C71" i="78"/>
  <c r="C59" i="15"/>
  <c r="C58" i="15"/>
  <c r="C67" i="15"/>
  <c r="C68" i="15"/>
  <c r="C71" i="15"/>
  <c r="J10" i="77"/>
  <c r="C58" i="80"/>
  <c r="C67" i="80"/>
  <c r="C68" i="80"/>
  <c r="C71" i="80"/>
  <c r="J16" i="78"/>
  <c r="J25" i="78"/>
  <c r="Q69" i="80"/>
  <c r="Q68" i="80"/>
  <c r="C40" i="80"/>
  <c r="Q47" i="80"/>
  <c r="Q53" i="80"/>
  <c r="C80" i="80"/>
  <c r="C79" i="80"/>
  <c r="J16" i="80"/>
  <c r="J25" i="80"/>
  <c r="C40" i="15"/>
  <c r="C43" i="15"/>
  <c r="K10" i="77"/>
  <c r="Q67" i="80"/>
  <c r="C49" i="11"/>
  <c r="C51" i="11"/>
  <c r="C52" i="11"/>
  <c r="B2" i="11"/>
  <c r="B3" i="11"/>
  <c r="C49" i="34"/>
  <c r="Q56" i="80"/>
  <c r="Q62" i="80"/>
  <c r="C71" i="79"/>
  <c r="Q69" i="79"/>
  <c r="Q68" i="79"/>
  <c r="C40" i="79"/>
  <c r="C40" i="78"/>
  <c r="Q69" i="78"/>
  <c r="Q68" i="78"/>
  <c r="C80" i="78"/>
  <c r="C79" i="78"/>
  <c r="L57" i="15"/>
  <c r="L60" i="15"/>
  <c r="L46" i="15"/>
  <c r="Q69" i="15"/>
  <c r="Q68" i="15"/>
  <c r="C80" i="15"/>
  <c r="C79" i="15"/>
  <c r="C102" i="9"/>
  <c r="C21" i="9"/>
  <c r="B3" i="34"/>
  <c r="C41" i="68"/>
  <c r="C46" i="68"/>
  <c r="C45" i="68"/>
  <c r="C28" i="68"/>
  <c r="C27" i="68"/>
  <c r="M63" i="40"/>
  <c r="L65" i="40"/>
  <c r="C22" i="68"/>
  <c r="C41" i="69"/>
  <c r="C28" i="69"/>
  <c r="C27" i="69"/>
  <c r="C31" i="69"/>
  <c r="B2" i="67"/>
  <c r="B3" i="67"/>
  <c r="L68" i="39"/>
  <c r="K70" i="39"/>
  <c r="C46" i="69"/>
  <c r="C45" i="69"/>
  <c r="Q57" i="67"/>
  <c r="Q62" i="67"/>
  <c r="L51" i="15"/>
  <c r="L51" i="79"/>
  <c r="L51" i="78"/>
  <c r="C20" i="9"/>
  <c r="B2" i="15"/>
  <c r="C43" i="80"/>
  <c r="C83" i="80"/>
  <c r="C82" i="80"/>
  <c r="C46" i="78"/>
  <c r="Q65" i="80"/>
  <c r="Q75" i="80"/>
  <c r="B2" i="80"/>
  <c r="C46" i="80"/>
  <c r="L10" i="77"/>
  <c r="L11" i="77"/>
  <c r="C46" i="15"/>
  <c r="C83" i="15"/>
  <c r="C82" i="15"/>
  <c r="Q47" i="15"/>
  <c r="Q53" i="15"/>
  <c r="Q65" i="15"/>
  <c r="Q56" i="15"/>
  <c r="C56" i="11"/>
  <c r="C57" i="11"/>
  <c r="Q67" i="15"/>
  <c r="C49" i="68"/>
  <c r="C51" i="68"/>
  <c r="Q66" i="15"/>
  <c r="Q67" i="79"/>
  <c r="Q47" i="79"/>
  <c r="Q53" i="79"/>
  <c r="Q65" i="79"/>
  <c r="Q75" i="79"/>
  <c r="Q56" i="79"/>
  <c r="Q62" i="79"/>
  <c r="C43" i="79"/>
  <c r="B2" i="79"/>
  <c r="C83" i="79"/>
  <c r="C82" i="79"/>
  <c r="C46" i="79"/>
  <c r="Q67" i="78"/>
  <c r="Q47" i="78"/>
  <c r="Q53" i="78"/>
  <c r="B2" i="78"/>
  <c r="Q65" i="78"/>
  <c r="Q75" i="78"/>
  <c r="Q56" i="78"/>
  <c r="Q62" i="78"/>
  <c r="C43" i="78"/>
  <c r="C83" i="78"/>
  <c r="C82" i="78"/>
  <c r="Q57" i="15"/>
  <c r="C103" i="9"/>
  <c r="C31" i="68"/>
  <c r="C49" i="69"/>
  <c r="C51" i="69"/>
  <c r="C52" i="69"/>
  <c r="B2" i="69"/>
  <c r="B3" i="69"/>
  <c r="M65" i="40"/>
  <c r="N63" i="40"/>
  <c r="M68" i="39"/>
  <c r="L70" i="39"/>
  <c r="AO6" i="1"/>
  <c r="AO7" i="1"/>
  <c r="AO9" i="1"/>
  <c r="AO8" i="1"/>
  <c r="B6" i="70"/>
  <c r="B3" i="15"/>
  <c r="Q75" i="15"/>
  <c r="B8" i="70"/>
  <c r="B3" i="80"/>
  <c r="Q62" i="15"/>
  <c r="C52" i="68"/>
  <c r="B2" i="68"/>
  <c r="B7" i="70"/>
  <c r="B3" i="79"/>
  <c r="B9" i="70"/>
  <c r="B3" i="78"/>
  <c r="N65" i="40"/>
  <c r="O63" i="40"/>
  <c r="O65" i="40"/>
  <c r="F7" i="40"/>
  <c r="H7" i="40"/>
  <c r="J7" i="40"/>
  <c r="N68" i="39"/>
  <c r="M70" i="39"/>
  <c r="C57" i="69"/>
  <c r="C56" i="69"/>
  <c r="B3" i="68"/>
  <c r="B2" i="70"/>
  <c r="J9" i="77"/>
  <c r="C57" i="68"/>
  <c r="C56" i="68"/>
  <c r="C23" i="77"/>
  <c r="E23" i="77"/>
  <c r="U7" i="40"/>
  <c r="AB7" i="40"/>
  <c r="T42" i="40"/>
  <c r="G42" i="40"/>
  <c r="S7" i="40"/>
  <c r="AA7" i="40"/>
  <c r="R42" i="40"/>
  <c r="W7" i="40"/>
  <c r="AC7" i="40"/>
  <c r="V42" i="40"/>
  <c r="I42" i="40"/>
  <c r="O68" i="39"/>
  <c r="O70" i="39"/>
  <c r="N70" i="39"/>
  <c r="D19" i="9"/>
  <c r="B3" i="70"/>
  <c r="G19" i="9"/>
  <c r="G21" i="9"/>
  <c r="D102" i="9"/>
  <c r="D21" i="9"/>
  <c r="D22" i="9"/>
  <c r="I46" i="40"/>
  <c r="J46" i="40"/>
  <c r="R43" i="40"/>
  <c r="E42" i="40"/>
  <c r="G46" i="40"/>
  <c r="H46" i="40"/>
  <c r="G47" i="40"/>
  <c r="H47" i="40"/>
  <c r="F7" i="39"/>
  <c r="J7" i="39"/>
  <c r="H7" i="39"/>
  <c r="D20" i="9"/>
  <c r="G20" i="9"/>
  <c r="D103" i="9"/>
  <c r="C32" i="9"/>
  <c r="E47" i="40"/>
  <c r="F47" i="40"/>
  <c r="E46" i="40"/>
  <c r="F46" i="40"/>
  <c r="I47" i="40"/>
  <c r="J47" i="40"/>
  <c r="C43" i="40"/>
  <c r="C42" i="40"/>
  <c r="AB7" i="39"/>
  <c r="T47" i="39"/>
  <c r="G47" i="39"/>
  <c r="U7" i="39"/>
  <c r="AC7" i="39"/>
  <c r="V47" i="39"/>
  <c r="I47" i="39"/>
  <c r="W7" i="39"/>
  <c r="S7" i="39"/>
  <c r="AA7" i="39"/>
  <c r="R47" i="39"/>
  <c r="H118" i="9"/>
  <c r="C104" i="9"/>
  <c r="I9" i="77"/>
  <c r="B58" i="40"/>
  <c r="F58" i="40"/>
  <c r="B52" i="40"/>
  <c r="F52" i="40"/>
  <c r="B51" i="40"/>
  <c r="F51" i="40"/>
  <c r="B55" i="40"/>
  <c r="F55" i="40"/>
  <c r="B60" i="40"/>
  <c r="F60" i="40"/>
  <c r="B57" i="40"/>
  <c r="F57" i="40"/>
  <c r="B59" i="40"/>
  <c r="F59" i="40"/>
  <c r="B56" i="40"/>
  <c r="F56" i="40"/>
  <c r="B54" i="40"/>
  <c r="F54" i="40"/>
  <c r="B53" i="40"/>
  <c r="F53" i="40"/>
  <c r="F61" i="40"/>
  <c r="B2" i="40"/>
  <c r="B3" i="40"/>
  <c r="I51" i="39"/>
  <c r="J51" i="39"/>
  <c r="G52" i="39"/>
  <c r="H52" i="39"/>
  <c r="G51" i="39"/>
  <c r="H51" i="39"/>
  <c r="E47" i="39"/>
  <c r="R48" i="39"/>
  <c r="I10" i="77"/>
  <c r="F35" i="9"/>
  <c r="C35" i="9"/>
  <c r="F118" i="9"/>
  <c r="I11" i="77"/>
  <c r="F34" i="9"/>
  <c r="C34" i="9"/>
  <c r="D14" i="74"/>
  <c r="E14" i="74"/>
  <c r="H119" i="9"/>
  <c r="H5" i="52"/>
  <c r="H101" i="9"/>
  <c r="D5" i="53"/>
  <c r="H4" i="52"/>
  <c r="I118" i="9"/>
  <c r="I4" i="52"/>
  <c r="E51" i="39"/>
  <c r="F51" i="39"/>
  <c r="E52" i="39"/>
  <c r="F52" i="39"/>
  <c r="C47" i="39"/>
  <c r="C48" i="39"/>
  <c r="I52" i="39"/>
  <c r="J52" i="39"/>
  <c r="D35" i="9"/>
  <c r="D34" i="9"/>
  <c r="F4" i="52"/>
  <c r="B51" i="72"/>
  <c r="F119" i="9"/>
  <c r="F5" i="52"/>
  <c r="B53" i="72"/>
  <c r="G118" i="9"/>
  <c r="G4" i="52"/>
  <c r="B52" i="72"/>
  <c r="D118" i="9"/>
  <c r="D4" i="52"/>
  <c r="B47" i="72"/>
  <c r="C105" i="9"/>
  <c r="D45" i="9"/>
  <c r="C78" i="9"/>
  <c r="C73" i="9"/>
  <c r="H102" i="9"/>
  <c r="D7" i="53"/>
  <c r="B21" i="72"/>
  <c r="M48" i="9"/>
  <c r="B5" i="74"/>
  <c r="D5" i="74"/>
  <c r="H107" i="9"/>
  <c r="H108" i="9"/>
  <c r="D15" i="53"/>
  <c r="B31" i="72"/>
  <c r="F14" i="74"/>
  <c r="D119" i="9"/>
  <c r="D5" i="52"/>
  <c r="B49" i="72"/>
  <c r="D6" i="53"/>
  <c r="B22" i="72"/>
  <c r="B20" i="72"/>
  <c r="B61" i="39"/>
  <c r="F61" i="39"/>
  <c r="B60" i="39"/>
  <c r="F60" i="39"/>
  <c r="B56" i="39"/>
  <c r="F56" i="39"/>
  <c r="F66" i="39"/>
  <c r="B2" i="39"/>
  <c r="B3" i="39"/>
  <c r="B58" i="39"/>
  <c r="F58" i="39"/>
  <c r="B59" i="39"/>
  <c r="F59" i="39"/>
  <c r="B64" i="39"/>
  <c r="F64" i="39"/>
  <c r="B65" i="39"/>
  <c r="F65" i="39"/>
  <c r="B57" i="39"/>
  <c r="F57" i="39"/>
  <c r="B63" i="39"/>
  <c r="F63" i="39"/>
  <c r="B62" i="39"/>
  <c r="F62" i="39"/>
  <c r="C85" i="9"/>
  <c r="C93" i="9"/>
  <c r="C86" i="9"/>
  <c r="E118" i="9"/>
  <c r="E4" i="52"/>
  <c r="B48" i="72"/>
  <c r="C72" i="9"/>
  <c r="C79" i="9"/>
  <c r="C80" i="9"/>
  <c r="E80" i="9"/>
  <c r="E81" i="9"/>
  <c r="C64" i="9"/>
  <c r="C63" i="9"/>
  <c r="C67" i="9"/>
  <c r="C68" i="9"/>
  <c r="D54" i="9"/>
  <c r="D13" i="53"/>
  <c r="D14" i="53"/>
  <c r="B32" i="72"/>
  <c r="C5" i="74"/>
  <c r="D52" i="9"/>
  <c r="D53" i="9"/>
  <c r="D55" i="9"/>
  <c r="M53" i="9"/>
  <c r="M49" i="9"/>
  <c r="L66" i="9"/>
  <c r="M66" i="9"/>
  <c r="D122" i="9"/>
  <c r="G14" i="74"/>
  <c r="B6" i="74"/>
  <c r="D48" i="9"/>
  <c r="M52" i="9"/>
  <c r="L64" i="9"/>
  <c r="M64" i="9"/>
  <c r="C95" i="9"/>
  <c r="C96" i="9"/>
  <c r="E96" i="9"/>
  <c r="E97" i="9"/>
  <c r="D123" i="9"/>
  <c r="D9" i="52"/>
  <c r="B30" i="72"/>
  <c r="L63" i="9"/>
  <c r="M63" i="9"/>
  <c r="L65" i="9"/>
  <c r="M65" i="9"/>
  <c r="L67" i="9"/>
  <c r="M67" i="9"/>
  <c r="L68" i="9"/>
  <c r="M68" i="9"/>
  <c r="D8" i="52"/>
  <c r="C81" i="9"/>
  <c r="C6" i="74"/>
  <c r="D6" i="74"/>
  <c r="M69" i="9"/>
  <c r="N69" i="9"/>
  <c r="C97" i="9"/>
  <c r="D58" i="9"/>
  <c r="D56" i="9"/>
  <c r="M54" i="9"/>
  <c r="N57" i="9"/>
  <c r="N58" i="9"/>
  <c r="N59" i="9"/>
  <c r="P57" i="9"/>
  <c r="N60" i="9"/>
  <c r="H111" i="9"/>
  <c r="N61" i="9"/>
  <c r="H112" i="9"/>
  <c r="D21" i="53"/>
  <c r="B39" i="72"/>
  <c r="D126" i="9"/>
  <c r="D19" i="53"/>
  <c r="D127" i="9"/>
  <c r="D13" i="52"/>
  <c r="D12" i="52"/>
  <c r="I14" i="74"/>
  <c r="B8" i="74"/>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作者</author>
  </authors>
  <commentList>
    <comment ref="J2" authorId="0">
      <text>
        <r>
          <rPr>
            <b/>
            <sz val="9"/>
            <color indexed="81"/>
            <rFont val="宋体"/>
            <family val="3"/>
            <charset val="134"/>
          </rPr>
          <t>好租</t>
        </r>
      </text>
    </comment>
    <comment ref="J4" authorId="0">
      <text>
        <r>
          <rPr>
            <b/>
            <sz val="9"/>
            <color indexed="81"/>
            <rFont val="宋体"/>
            <family val="3"/>
            <charset val="134"/>
          </rPr>
          <t>周边可比项目租金</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<sst xmlns="http://schemas.openxmlformats.org/spreadsheetml/2006/main" count="8740" uniqueCount="3226">
  <si>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</si>
  <si>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</si>
  <si>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</si>
  <si>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</si>
  <si>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</si>
  <si>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</si>
  <si>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</si>
  <si>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</si>
  <si>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</si>
  <si>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</si>
  <si>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</si>
  <si>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</si>
  <si>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</si>
  <si>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</si>
  <si>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</si>
  <si>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</si>
  <si>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</si>
  <si>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</si>
  <si>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</si>
  <si>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</si>
  <si>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</si>
  <si>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</si>
  <si>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</si>
  <si>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</si>
  <si>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</si>
  <si>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</si>
  <si>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</si>
  <si>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</si>
  <si>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</si>
  <si>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</si>
  <si>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</si>
  <si>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</si>
  <si>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</si>
  <si>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</si>
  <si>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</si>
  <si>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</si>
  <si>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</si>
  <si>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</si>
  <si>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</si>
  <si>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</si>
  <si>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</si>
  <si>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</si>
  <si>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</si>
  <si>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</si>
  <si>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</si>
  <si>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</si>
  <si>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</si>
  <si>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</si>
  <si>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</si>
  <si>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</si>
  <si>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</si>
  <si>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</si>
  <si>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</si>
  <si>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</si>
  <si>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</si>
  <si>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</si>
  <si>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</si>
  <si>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</si>
  <si>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</si>
  <si>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</si>
  <si>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</si>
  <si>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</si>
  <si>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</si>
  <si>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</si>
  <si>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</si>
  <si>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</si>
  <si>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</si>
  <si>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</si>
  <si>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</si>
  <si>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</si>
  <si>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</si>
  <si>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</si>
  <si>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</si>
  <si>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</si>
  <si>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</si>
  <si>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</si>
  <si>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</si>
  <si>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</si>
  <si>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</si>
  <si>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</si>
  <si>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</si>
  <si>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</si>
  <si>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</si>
  <si>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</si>
  <si>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</si>
  <si>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</si>
  <si>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</si>
  <si>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</si>
  <si>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</si>
  <si>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</si>
  <si>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</si>
  <si>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</si>
  <si>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</si>
  <si>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</si>
  <si>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</si>
  <si>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</si>
  <si>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</si>
  <si>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</si>
  <si>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</si>
  <si>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</si>
  <si>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</si>
  <si>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</si>
  <si>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</si>
  <si>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</si>
  <si>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</si>
  <si>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</si>
  <si>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</si>
  <si>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</si>
  <si>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</si>
  <si>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</si>
  <si>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</si>
  <si>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</si>
  <si>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</si>
  <si>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</si>
  <si>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</si>
  <si>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</si>
  <si>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</si>
  <si>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</si>
  <si>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</si>
  <si>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</si>
  <si>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</si>
  <si>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</si>
  <si>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</si>
  <si>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</si>
  <si>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</si>
  <si>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</si>
  <si>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</si>
  <si>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</si>
  <si>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</si>
  <si>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</si>
  <si>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</si>
  <si>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</si>
  <si>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</si>
  <si>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</si>
  <si>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</si>
  <si>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</si>
  <si>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</si>
  <si>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</si>
  <si>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</si>
  <si>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</si>
  <si>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</si>
  <si>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</si>
  <si>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</si>
  <si>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</si>
  <si>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</si>
  <si>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</si>
  <si>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</si>
  <si>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</si>
  <si>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</si>
  <si>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</si>
  <si>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</si>
  <si>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</si>
  <si>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</si>
  <si>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</si>
  <si>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</si>
  <si>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</si>
  <si>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</si>
  <si>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</si>
  <si>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</si>
  <si>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</si>
  <si>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</si>
  <si>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</si>
  <si>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</si>
  <si>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</si>
  <si>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</si>
  <si>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</si>
  <si>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</si>
  <si>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</si>
  <si>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</si>
  <si>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</si>
  <si>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</si>
  <si>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</si>
  <si>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</si>
  <si>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</si>
  <si>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</si>
  <si>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</si>
  <si>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</si>
  <si>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</si>
  <si>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</si>
  <si>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</si>
  <si>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</si>
  <si>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</si>
  <si>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</si>
  <si>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</si>
  <si>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</si>
  <si>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</si>
  <si>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</si>
  <si>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</si>
  <si>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</si>
  <si>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</si>
  <si>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</si>
  <si>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</si>
  <si>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</si>
  <si>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</si>
  <si>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</si>
  <si>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</si>
  <si>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</si>
  <si>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</si>
  <si>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</si>
  <si>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</si>
  <si>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</si>
  <si>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</si>
  <si>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</si>
  <si>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</si>
  <si>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</si>
  <si>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</si>
  <si>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</si>
  <si>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</si>
  <si>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</si>
  <si>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</si>
  <si>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</si>
  <si>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</si>
  <si>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</si>
  <si>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</si>
  <si>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</si>
  <si>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</si>
  <si>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</si>
  <si>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</si>
  <si>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</si>
  <si>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</si>
  <si>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</si>
  <si>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</si>
  <si>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</si>
  <si>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</si>
  <si>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</si>
  <si>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</si>
  <si>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</si>
  <si>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</si>
  <si>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</si>
  <si>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</si>
  <si>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</si>
  <si>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</si>
  <si>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</si>
  <si>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</si>
  <si>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</si>
  <si>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</si>
  <si>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</si>
  <si>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</si>
  <si>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</si>
  <si>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</si>
  <si>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</si>
  <si>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</si>
  <si>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</si>
  <si>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</si>
  <si>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</si>
  <si>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</si>
  <si>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</si>
  <si>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</si>
  <si>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</si>
  <si>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</si>
  <si>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</si>
  <si>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</si>
  <si>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</si>
  <si>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</si>
  <si>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</si>
  <si>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</si>
  <si>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</si>
  <si>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</si>
  <si>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</si>
  <si>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</si>
  <si>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</si>
  <si>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</si>
  <si>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</si>
  <si>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</si>
  <si>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</si>
  <si>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</si>
  <si>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</si>
  <si>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</si>
  <si>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</si>
  <si>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</si>
  <si>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</si>
  <si>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</si>
  <si>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</si>
  <si>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</si>
  <si>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</si>
  <si>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</si>
  <si>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</si>
  <si>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</si>
  <si>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</si>
  <si>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</si>
  <si>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</si>
  <si>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</si>
  <si>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</si>
  <si>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</si>
  <si>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</si>
  <si>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</si>
  <si>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</si>
  <si>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</si>
  <si>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</si>
  <si>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</si>
  <si>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</si>
  <si>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</si>
  <si>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</si>
  <si>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</si>
  <si>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</si>
  <si>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</si>
  <si>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</si>
  <si>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</si>
  <si>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</si>
  <si>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</si>
  <si>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</si>
  <si>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</si>
  <si>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</si>
  <si>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</si>
  <si>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</si>
  <si>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</si>
  <si>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</si>
  <si>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</si>
  <si>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</si>
  <si>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</si>
  <si>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</si>
  <si>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</si>
  <si>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</si>
  <si>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</si>
  <si>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</si>
  <si>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</si>
  <si>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</si>
  <si>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</si>
  <si>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</si>
  <si>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</si>
  <si>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</si>
  <si>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</si>
  <si>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</si>
  <si>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</si>
  <si>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</si>
  <si>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</si>
  <si>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</si>
  <si>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</si>
  <si>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</si>
  <si>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</si>
  <si>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</si>
  <si>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</si>
  <si>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</si>
  <si>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</si>
  <si>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</si>
  <si>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</si>
  <si>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</si>
  <si>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</si>
  <si>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</si>
  <si>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</si>
  <si>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</si>
  <si>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</si>
  <si>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</si>
  <si>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</si>
  <si>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</si>
  <si>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</si>
  <si>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</si>
  <si>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</si>
  <si>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</si>
  <si>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</si>
  <si>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</si>
  <si>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</si>
  <si>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</si>
  <si>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</si>
  <si>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</si>
  <si>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</si>
  <si>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</si>
  <si>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</si>
  <si>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</si>
  <si>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</si>
  <si>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</si>
  <si>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</si>
  <si>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</si>
  <si>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</si>
  <si>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</si>
  <si>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</si>
  <si>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</si>
  <si>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</si>
  <si>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</si>
  <si>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</si>
  <si>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</si>
  <si>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</si>
  <si>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</si>
  <si>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</si>
  <si>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</si>
  <si>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</si>
  <si>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</si>
  <si>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</si>
  <si>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</si>
  <si>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</si>
  <si>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</si>
  <si>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</si>
  <si>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</si>
  <si>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</si>
  <si>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</si>
  <si>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</si>
  <si>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</si>
  <si>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</si>
  <si>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</si>
  <si>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</si>
  <si>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</si>
  <si>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</si>
  <si>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</si>
  <si>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</si>
  <si>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</si>
  <si>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</si>
  <si>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</si>
  <si>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</si>
  <si>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</si>
  <si>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</si>
  <si>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</si>
  <si>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</si>
  <si>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</si>
  <si>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</si>
  <si>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</si>
  <si>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</si>
  <si>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</si>
  <si>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</si>
  <si>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</si>
  <si>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</si>
  <si>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</si>
  <si>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</si>
  <si>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</si>
  <si>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</si>
  <si>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</si>
  <si>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</si>
  <si>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</si>
  <si>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</si>
  <si>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</si>
  <si>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</si>
  <si>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</si>
  <si>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</si>
  <si>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</si>
  <si>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</si>
  <si>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</si>
  <si>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</si>
  <si>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</si>
  <si>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</si>
  <si>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</si>
  <si>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</si>
  <si>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</si>
  <si>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</si>
  <si>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</si>
  <si>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</si>
  <si>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</si>
  <si>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</si>
  <si>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</si>
  <si>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</si>
  <si>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</si>
  <si>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</si>
  <si>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</si>
  <si>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</si>
  <si>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</si>
  <si>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</si>
  <si>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</si>
  <si>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</si>
  <si>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</si>
  <si>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</si>
  <si>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</si>
  <si>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</si>
  <si>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</si>
  <si>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</si>
  <si>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</si>
  <si>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</si>
  <si>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</si>
  <si>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</si>
  <si>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</si>
  <si>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</si>
  <si>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</si>
  <si>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</si>
  <si>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</si>
  <si>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</si>
  <si>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</si>
  <si>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</si>
  <si>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</si>
  <si>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</si>
  <si>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</si>
  <si>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</si>
  <si>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</si>
  <si>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</si>
  <si>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</si>
  <si>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</si>
  <si>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</si>
  <si>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</si>
  <si>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</si>
  <si>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</si>
  <si>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</si>
  <si>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</si>
  <si>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</si>
  <si>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</si>
  <si>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</si>
  <si>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</si>
  <si>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</si>
  <si>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</si>
  <si>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</si>
  <si>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</si>
  <si>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</si>
  <si>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</si>
  <si>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</si>
  <si>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</si>
  <si>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</si>
  <si>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</si>
  <si>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</si>
  <si>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</si>
  <si>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</si>
  <si>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</si>
  <si>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</si>
  <si>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</si>
  <si>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</si>
  <si>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</si>
  <si>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</si>
  <si>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</si>
  <si>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</si>
  <si>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</si>
  <si>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</si>
  <si>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</si>
  <si>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</si>
  <si>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</si>
  <si>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</si>
  <si>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</si>
  <si>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</si>
  <si>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</si>
  <si>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</si>
  <si>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</si>
  <si>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</si>
  <si>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</si>
  <si>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</si>
  <si>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</si>
  <si>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</si>
  <si>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</si>
  <si>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</si>
  <si>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</si>
  <si>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</si>
  <si>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</si>
  <si>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</si>
  <si>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</si>
  <si>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</si>
  <si>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</si>
  <si>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</si>
  <si>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</si>
  <si>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</si>
  <si>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</si>
  <si>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</si>
  <si>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</si>
  <si>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</si>
  <si>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</si>
  <si>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</si>
  <si>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</si>
  <si>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</si>
  <si>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</si>
  <si>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</si>
  <si>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</si>
  <si>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</si>
  <si>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</si>
  <si>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</si>
  <si>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</si>
  <si>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</si>
  <si>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</si>
  <si>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</si>
  <si>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</si>
  <si>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</si>
  <si>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</si>
  <si>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</si>
  <si>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</si>
  <si>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</si>
  <si>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</si>
  <si>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</si>
  <si>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</si>
  <si>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</si>
  <si>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</si>
  <si>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</si>
  <si>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</si>
  <si>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</si>
  <si>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</si>
  <si>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</si>
  <si>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</si>
  <si>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</si>
  <si>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</si>
  <si>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</si>
  <si>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</si>
  <si>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</si>
  <si>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</si>
  <si>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</si>
  <si>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</si>
  <si>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</si>
  <si>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</si>
  <si>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</si>
  <si>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</si>
  <si>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</si>
  <si>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</si>
  <si>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</si>
  <si>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</si>
  <si>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</si>
  <si>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</si>
  <si>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</si>
  <si>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</si>
  <si>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</si>
  <si>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</si>
  <si>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</si>
  <si>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</si>
  <si>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</si>
  <si>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</si>
  <si>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</si>
  <si>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</si>
  <si>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</si>
  <si>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</si>
  <si>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</si>
  <si>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</si>
  <si>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</si>
  <si>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</si>
  <si>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</si>
  <si>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</si>
  <si>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</si>
  <si>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</si>
  <si>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</si>
  <si>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</si>
  <si>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</si>
  <si>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</si>
  <si>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</si>
  <si>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</si>
  <si>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</si>
  <si>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</si>
  <si>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</si>
  <si>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</si>
  <si>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</si>
  <si>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</si>
  <si>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</si>
  <si>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</si>
  <si>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</si>
  <si>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</si>
  <si>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</si>
  <si>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</si>
  <si>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</si>
  <si>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</si>
  <si>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</si>
  <si>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</si>
  <si>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</si>
  <si>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</si>
  <si>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</si>
  <si>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</si>
  <si>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</si>
  <si>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</si>
  <si>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</si>
  <si>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</si>
  <si>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</si>
  <si>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</si>
  <si>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</si>
  <si>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</si>
  <si>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</si>
  <si>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</si>
  <si>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</si>
  <si>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</si>
  <si>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</si>
  <si>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</si>
  <si>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</si>
  <si>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</si>
  <si>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</si>
  <si>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</si>
  <si>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</si>
  <si>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</si>
  <si>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</si>
  <si>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</si>
  <si>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</si>
  <si>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</si>
  <si>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</si>
  <si>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</si>
  <si>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</si>
  <si>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</si>
  <si>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</si>
  <si>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</si>
  <si>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</si>
  <si>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</si>
  <si>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</si>
  <si>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</si>
  <si>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</si>
  <si>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</si>
  <si>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</si>
  <si>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</si>
  <si>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</si>
  <si>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</si>
  <si>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</si>
  <si>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</si>
  <si>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</si>
  <si>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</si>
  <si>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</si>
  <si>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</si>
  <si>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</si>
  <si>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</si>
  <si>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</si>
  <si>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</si>
  <si>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</si>
  <si>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</si>
  <si>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</si>
  <si>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</si>
  <si>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</si>
  <si>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</si>
  <si>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</si>
  <si>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</si>
  <si>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</si>
  <si>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</si>
  <si>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</si>
  <si>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</si>
  <si>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</si>
  <si>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</si>
  <si>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</si>
  <si>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</si>
  <si>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</si>
  <si>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</si>
  <si>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</si>
  <si>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</si>
  <si>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</si>
  <si>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</si>
  <si>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</si>
  <si>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</si>
  <si>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</si>
  <si>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</si>
  <si>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</si>
  <si>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</si>
  <si>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</si>
  <si>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</si>
  <si>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</si>
  <si>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</si>
  <si>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</si>
  <si>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</si>
  <si>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</si>
  <si>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</si>
  <si>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</si>
  <si>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</si>
  <si>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</si>
  <si>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</si>
  <si>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</si>
  <si>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</si>
  <si>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</si>
  <si>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</si>
  <si>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</si>
  <si>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</si>
  <si>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</si>
  <si>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</si>
  <si>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</si>
  <si>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</si>
  <si>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</si>
  <si>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</si>
  <si>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</si>
  <si>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</si>
  <si>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</si>
  <si>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</si>
  <si>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</si>
  <si>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</si>
  <si>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</si>
  <si>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</si>
  <si>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</si>
  <si>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</si>
  <si>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</si>
  <si>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</si>
  <si>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</si>
  <si>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</si>
  <si>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</si>
  <si>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</si>
  <si>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</si>
  <si>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</si>
  <si>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</si>
  <si>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</si>
  <si>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</si>
  <si>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</si>
  <si>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</si>
  <si>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</si>
  <si>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</si>
  <si>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</si>
  <si>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</si>
  <si>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</si>
  <si>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</si>
  <si>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</si>
  <si>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</si>
  <si>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</si>
  <si>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</si>
  <si>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</si>
  <si>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</si>
  <si>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</si>
  <si>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</si>
  <si>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</si>
  <si>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</si>
  <si>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</si>
  <si>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</si>
  <si>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</si>
  <si>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</si>
  <si>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</si>
  <si>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</si>
  <si>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</si>
  <si>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</si>
  <si>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</si>
  <si>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</si>
  <si>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</si>
  <si>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</si>
  <si>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</si>
  <si>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</si>
  <si>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</si>
  <si>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</si>
  <si>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</si>
  <si>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</si>
  <si>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</si>
  <si>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</si>
  <si>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</si>
  <si>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</si>
  <si>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</si>
  <si>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</si>
  <si>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</si>
  <si>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</si>
  <si>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</si>
  <si>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</si>
  <si>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</si>
  <si>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</si>
  <si>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</si>
  <si>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</si>
  <si>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</si>
  <si>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</si>
  <si>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</si>
  <si>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</si>
  <si>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</si>
  <si>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</si>
  <si>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</si>
  <si>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</si>
  <si>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</si>
  <si>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</si>
  <si>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</si>
  <si>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</si>
  <si>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</si>
  <si>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</si>
  <si>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</si>
  <si>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</si>
  <si>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</si>
  <si>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</si>
  <si>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</si>
  <si>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</si>
  <si>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</si>
  <si>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</si>
  <si>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</si>
  <si>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</si>
  <si>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</si>
  <si>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</si>
  <si>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</si>
  <si>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</si>
  <si>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</si>
  <si>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</si>
  <si>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</si>
  <si>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</si>
  <si>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</si>
  <si>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</si>
  <si>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</si>
  <si>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</si>
  <si>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</si>
  <si>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</si>
  <si>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</si>
  <si>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</si>
  <si>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</si>
  <si>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</si>
  <si>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</si>
  <si>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</si>
  <si>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</si>
  <si>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</si>
  <si>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</si>
  <si>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</si>
  <si>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</si>
  <si>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</si>
  <si>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</si>
  <si>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</si>
  <si>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</si>
  <si>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</si>
  <si>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</si>
  <si>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</si>
  <si>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</si>
  <si>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</si>
  <si>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</si>
  <si>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</si>
  <si>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</si>
  <si>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</si>
  <si>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</si>
  <si>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</si>
  <si>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</si>
  <si>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</si>
  <si>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</si>
  <si>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</si>
  <si>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</si>
  <si>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</si>
  <si>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</si>
  <si>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</si>
  <si>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</si>
  <si>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</si>
  <si>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</si>
  <si>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</si>
  <si>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</si>
  <si>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</si>
  <si>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</si>
  <si>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</si>
  <si>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</si>
  <si>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</si>
  <si>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</si>
  <si>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</si>
  <si>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</si>
  <si>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</si>
  <si>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</si>
  <si>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</si>
  <si>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</si>
  <si>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</si>
  <si>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</si>
  <si>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</si>
  <si>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</si>
  <si>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</si>
  <si>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</si>
  <si>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</si>
  <si>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</si>
  <si>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</si>
  <si>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</si>
  <si>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</si>
  <si>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</si>
  <si>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</si>
  <si>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</si>
  <si>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</si>
  <si>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</si>
  <si>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</si>
  <si>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</si>
  <si>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</si>
  <si>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</si>
  <si>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</si>
  <si>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</si>
  <si>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</si>
  <si>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</si>
  <si>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</si>
  <si>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</si>
  <si>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</si>
  <si>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</si>
  <si>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</si>
  <si>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</si>
  <si>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</si>
  <si>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</si>
  <si>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</si>
  <si>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</si>
  <si>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</si>
  <si>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</si>
  <si>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</si>
  <si>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</si>
  <si>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</si>
  <si>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</si>
  <si>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</si>
  <si>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</si>
  <si>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</si>
  <si>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</si>
  <si>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</si>
  <si>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</si>
  <si>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</si>
  <si>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</si>
  <si>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</si>
  <si>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</si>
  <si>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</si>
  <si>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</si>
  <si>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</si>
  <si>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</si>
  <si>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</si>
  <si>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</si>
  <si>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</si>
  <si>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</si>
  <si>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</si>
  <si>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</si>
  <si>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</si>
  <si>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</si>
  <si>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</si>
  <si>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</si>
  <si>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</si>
  <si>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</si>
  <si>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</si>
  <si>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</si>
  <si>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</si>
  <si>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</si>
  <si>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</si>
  <si>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</si>
  <si>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</si>
  <si>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</si>
  <si>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</si>
  <si>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</si>
  <si>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</si>
  <si>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</si>
  <si>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</si>
  <si>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</si>
  <si>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</si>
  <si>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</si>
  <si>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</si>
  <si>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</si>
  <si>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</si>
  <si>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</si>
  <si>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</si>
  <si>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</si>
  <si>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</si>
  <si>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</si>
  <si>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</si>
  <si>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</si>
  <si>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</si>
  <si>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</si>
  <si>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</si>
  <si>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</si>
  <si>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</si>
  <si>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</si>
  <si>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</si>
  <si>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</si>
  <si>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</si>
  <si>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</si>
  <si>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</si>
  <si>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</si>
  <si>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</si>
  <si>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</si>
  <si>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</si>
  <si>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</si>
  <si>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</si>
  <si>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</si>
  <si>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</si>
  <si>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</si>
  <si>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</si>
  <si>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</si>
  <si>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</si>
  <si>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</si>
  <si>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</si>
  <si>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</si>
  <si>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</si>
  <si>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</si>
  <si>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</si>
  <si>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</si>
  <si>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</si>
  <si>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</si>
  <si>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</si>
  <si>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</si>
  <si>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</si>
  <si>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</si>
  <si>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</si>
  <si>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</si>
  <si>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</si>
  <si>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</si>
  <si>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</si>
  <si>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</si>
  <si>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</si>
  <si>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</si>
  <si>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</si>
  <si>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</si>
  <si>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</si>
  <si>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</si>
  <si>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</si>
  <si>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</si>
  <si>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</si>
  <si>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</si>
  <si>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</si>
  <si>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</si>
  <si>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</si>
  <si>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</si>
  <si>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</si>
  <si>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</si>
  <si>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</si>
  <si>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</si>
  <si>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</si>
  <si>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</si>
  <si>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</si>
  <si>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</si>
  <si>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</si>
  <si>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</si>
  <si>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</si>
  <si>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</si>
  <si>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</si>
  <si>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</si>
  <si>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</si>
  <si>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</si>
  <si>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</si>
  <si>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</si>
  <si>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</si>
  <si>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</si>
  <si>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</si>
  <si>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</si>
  <si>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</si>
  <si>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</si>
  <si>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</si>
  <si>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</si>
  <si>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</si>
  <si>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</si>
  <si>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</si>
  <si>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</si>
  <si>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</si>
  <si>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</si>
  <si>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</si>
  <si>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</si>
  <si>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</si>
  <si>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</si>
  <si>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</si>
  <si>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</si>
  <si>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</si>
  <si>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</si>
  <si>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</si>
  <si>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</si>
  <si>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</si>
  <si>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</si>
  <si>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</si>
  <si>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</si>
  <si>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</si>
  <si>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</si>
  <si>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</si>
  <si>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</si>
  <si>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</si>
  <si>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</si>
  <si>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</si>
  <si>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</si>
  <si>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</si>
  <si>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</si>
  <si>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</si>
  <si>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</si>
  <si>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</si>
  <si>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</si>
  <si>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</si>
  <si>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</si>
  <si>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</si>
  <si>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</si>
  <si>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</si>
  <si>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</si>
  <si>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</si>
  <si>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</si>
  <si>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</si>
  <si>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</si>
  <si>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</si>
  <si>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</si>
  <si>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</si>
  <si>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</si>
  <si>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</si>
  <si>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</si>
  <si>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</si>
  <si>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</si>
  <si>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</si>
  <si>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</si>
  <si>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</si>
  <si>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</si>
  <si>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</si>
  <si>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</si>
  <si>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</si>
  <si>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</si>
  <si>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</si>
  <si>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</si>
  <si>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</si>
  <si>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</si>
  <si>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</si>
  <si>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</si>
  <si>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</si>
  <si>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</si>
  <si>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</si>
  <si>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</si>
  <si>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</si>
  <si>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</si>
  <si>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</si>
  <si>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</si>
  <si>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</si>
  <si>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</si>
  <si>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</si>
  <si>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</si>
  <si>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</si>
  <si>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</si>
  <si>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</si>
  <si>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</si>
  <si>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</si>
  <si>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</si>
  <si>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</si>
  <si>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</si>
  <si>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</si>
  <si>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</si>
  <si>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</si>
  <si>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</si>
  <si>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</si>
  <si>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</si>
  <si>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</si>
  <si>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</si>
  <si>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</si>
  <si>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</si>
  <si>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</si>
  <si>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</si>
  <si>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</si>
  <si>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</si>
  <si>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</si>
  <si>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</si>
  <si>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</si>
  <si>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</si>
  <si>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</si>
  <si>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</si>
  <si>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</si>
  <si>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</si>
  <si>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</si>
  <si>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</si>
  <si>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</si>
  <si>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</si>
  <si>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</si>
  <si>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</si>
  <si>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</si>
  <si>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</si>
  <si>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</si>
  <si>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</si>
  <si>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</si>
  <si>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</si>
  <si>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</si>
  <si>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</si>
  <si>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</si>
  <si>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</si>
  <si>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</si>
  <si>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</si>
  <si>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</si>
  <si>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</si>
  <si>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</si>
  <si>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</si>
  <si>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</si>
  <si>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</si>
  <si>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</si>
  <si>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</si>
  <si>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</si>
  <si>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</si>
  <si>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</si>
  <si>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</si>
  <si>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</si>
  <si>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</si>
  <si>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</si>
  <si>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</si>
  <si>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</si>
  <si>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</si>
  <si>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</si>
  <si>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</si>
  <si>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</si>
  <si>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</si>
  <si>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</si>
  <si>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</si>
  <si>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</si>
  <si>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</si>
  <si>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</si>
  <si>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</si>
  <si>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</si>
  <si>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</si>
  <si>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</si>
  <si>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</si>
  <si>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</si>
  <si>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</si>
  <si>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</si>
  <si>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</si>
  <si>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</si>
  <si>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</si>
  <si>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</si>
  <si>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</si>
  <si>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</si>
  <si>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</si>
  <si>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</si>
  <si>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</si>
  <si>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</si>
  <si>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</si>
  <si>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</si>
  <si>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</si>
  <si>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</si>
  <si>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</si>
  <si>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</si>
  <si>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</si>
  <si>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</si>
  <si>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</si>
  <si>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</si>
  <si>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</si>
  <si>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</si>
  <si>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</si>
  <si>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</si>
  <si>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</si>
  <si>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</si>
  <si>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</si>
  <si>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</si>
  <si>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</si>
  <si>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</si>
  <si>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</si>
  <si>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</si>
  <si>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</si>
  <si>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</si>
  <si>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</si>
  <si>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</si>
  <si>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</si>
  <si>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</si>
  <si>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</si>
  <si>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</si>
  <si>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</si>
  <si>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</si>
  <si>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</si>
  <si>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</si>
  <si>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</si>
  <si>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</si>
  <si>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</si>
  <si>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</si>
  <si>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</si>
  <si>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</si>
  <si>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</si>
  <si>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</si>
  <si>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</si>
  <si>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</si>
  <si>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</si>
  <si>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</si>
  <si>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</si>
  <si>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</si>
  <si>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</si>
  <si>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</si>
  <si>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</si>
  <si>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</si>
  <si>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</si>
  <si>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</si>
  <si>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</si>
  <si>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</si>
  <si>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</si>
  <si>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</si>
  <si>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</si>
  <si>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</si>
  <si>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</si>
  <si>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</si>
  <si>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</si>
  <si>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</si>
  <si>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</si>
  <si>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</si>
  <si>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</si>
  <si>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</si>
  <si>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</si>
  <si>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</si>
  <si>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</si>
  <si>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</si>
  <si>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</si>
  <si>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</si>
  <si>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</si>
  <si>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</si>
  <si>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</si>
  <si>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</si>
  <si>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</si>
  <si>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</si>
  <si>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</si>
  <si>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</si>
  <si>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</si>
  <si>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</si>
  <si>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</si>
  <si>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</si>
  <si>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</si>
  <si>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</si>
  <si>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</si>
  <si>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</si>
  <si>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</si>
  <si>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</si>
  <si>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</si>
  <si>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</si>
  <si>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</si>
  <si>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</si>
  <si>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</si>
  <si>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</si>
  <si>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</si>
  <si>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</si>
  <si>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</si>
  <si>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</si>
  <si>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</si>
  <si>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</si>
  <si>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</si>
  <si>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</si>
  <si>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</si>
  <si>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</si>
  <si>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</si>
  <si>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</si>
  <si>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</si>
  <si>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</si>
  <si>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</si>
  <si>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</si>
  <si>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</si>
  <si>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</si>
  <si>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</si>
  <si>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</si>
  <si>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</si>
  <si>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</si>
  <si>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</si>
  <si>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</si>
  <si>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</si>
  <si>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</si>
  <si>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</si>
  <si>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</si>
  <si>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</si>
  <si>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</si>
  <si>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</si>
  <si>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</si>
  <si>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</si>
  <si>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</si>
  <si>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</si>
  <si>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</si>
  <si>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</si>
  <si>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</si>
  <si>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</si>
  <si>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</si>
  <si>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</si>
  <si>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</si>
  <si>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</si>
  <si>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</si>
  <si>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</si>
  <si>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</si>
  <si>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</si>
  <si>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</si>
  <si>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</si>
  <si>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</si>
  <si>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</si>
  <si>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</si>
  <si>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</si>
  <si>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</si>
  <si>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</si>
  <si>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</si>
  <si>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</si>
  <si>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</si>
  <si>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</si>
  <si>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</si>
  <si>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</si>
  <si>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</si>
  <si>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</si>
  <si>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</si>
  <si>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</si>
  <si>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</si>
  <si>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</si>
  <si>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</si>
  <si>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</si>
  <si>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</si>
  <si>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</si>
  <si>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</si>
  <si>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</si>
  <si>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</si>
  <si>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</si>
  <si>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</si>
  <si>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</si>
  <si>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</si>
  <si>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</si>
  <si>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</si>
  <si>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</si>
  <si>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</si>
  <si>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</si>
  <si>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</si>
  <si>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</si>
  <si>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</si>
  <si>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</si>
  <si>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</si>
  <si>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</si>
  <si>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</si>
  <si>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</si>
  <si>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</si>
  <si>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</si>
  <si>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</si>
  <si>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</si>
  <si>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</si>
  <si>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</si>
  <si>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</si>
  <si>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</si>
  <si>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</si>
  <si>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</si>
  <si>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</si>
  <si>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</si>
  <si>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</si>
  <si>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</si>
  <si>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</si>
  <si>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</si>
  <si>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</si>
  <si>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</si>
  <si>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</si>
  <si>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</si>
  <si>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</si>
  <si>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</si>
  <si>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</si>
  <si>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</si>
  <si>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</si>
  <si>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</si>
  <si>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</si>
  <si>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</si>
  <si>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</si>
  <si>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</si>
  <si>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</si>
  <si>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</si>
  <si>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</si>
  <si>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</si>
  <si>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</si>
  <si>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</si>
  <si>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</si>
  <si>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</si>
  <si>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</si>
  <si>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</si>
  <si>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</si>
  <si>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</si>
  <si>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</si>
  <si>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</si>
  <si>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</si>
  <si>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</si>
  <si>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</si>
  <si>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</si>
  <si>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</si>
  <si>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</si>
  <si>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</si>
  <si>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</si>
  <si>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</si>
  <si>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</si>
  <si>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</si>
  <si>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</si>
  <si>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</si>
  <si>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</si>
  <si>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</si>
  <si>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</si>
  <si>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</si>
  <si>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</si>
  <si>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</si>
  <si>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</si>
  <si>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</si>
  <si>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</si>
  <si>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</si>
  <si>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</si>
  <si>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</si>
  <si>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</si>
  <si>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</si>
  <si>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</si>
  <si>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</si>
  <si>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</si>
  <si>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</si>
  <si>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</si>
  <si>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</si>
  <si>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</si>
  <si>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</si>
  <si>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</si>
  <si>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</si>
  <si>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</si>
  <si>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</si>
  <si>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</si>
  <si>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</si>
  <si>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</si>
  <si>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</si>
  <si>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</si>
  <si>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</si>
  <si>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</si>
  <si>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</si>
  <si>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</si>
  <si>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</si>
  <si>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</si>
  <si>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</si>
  <si>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</si>
  <si>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</si>
  <si>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</si>
  <si>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</si>
  <si>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</si>
  <si>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</si>
  <si>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</si>
  <si>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</si>
  <si>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</si>
  <si>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</si>
  <si>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</si>
  <si>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</si>
  <si>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</si>
  <si>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</si>
  <si>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</si>
  <si>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</si>
  <si>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</si>
  <si>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</si>
  <si>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</si>
  <si>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</si>
  <si>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</si>
  <si>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</si>
  <si>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</si>
  <si>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</si>
  <si>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</si>
  <si>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</si>
  <si>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</si>
  <si>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</si>
  <si>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</si>
  <si>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</si>
  <si>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</si>
  <si>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</si>
  <si>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</si>
  <si>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</si>
  <si>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</si>
  <si>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</si>
  <si>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</si>
  <si>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</si>
  <si>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</si>
  <si>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</si>
  <si>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</si>
  <si>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</si>
  <si>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</si>
  <si>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</si>
  <si>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</si>
  <si>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</si>
  <si>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</si>
  <si>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</si>
  <si>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</si>
  <si>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</si>
  <si>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</si>
  <si>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</si>
  <si>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</si>
  <si>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</si>
  <si>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</si>
  <si>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</si>
  <si>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</si>
  <si>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</si>
  <si>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</si>
  <si>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</si>
  <si>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</si>
  <si>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</si>
  <si>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</si>
  <si>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</si>
  <si>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</si>
  <si>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</si>
  <si>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</si>
  <si>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</si>
  <si>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</si>
  <si>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</si>
  <si>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</si>
  <si>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</si>
  <si>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</si>
  <si>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</si>
  <si>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</si>
  <si>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</si>
  <si>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</si>
  <si>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</si>
  <si>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</si>
  <si>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</si>
  <si>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</si>
  <si>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</si>
  <si>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</si>
  <si>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</si>
  <si>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</si>
  <si>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</si>
  <si>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</si>
  <si>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</si>
  <si>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</si>
  <si>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</si>
  <si>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</si>
  <si>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</si>
  <si>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</si>
  <si>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</si>
  <si>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</si>
  <si>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</si>
  <si>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</si>
  <si>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</si>
  <si>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</si>
  <si>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</si>
  <si>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</si>
  <si>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</si>
  <si>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</si>
  <si>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</si>
  <si>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</si>
  <si>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</si>
  <si>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</si>
  <si>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</si>
  <si>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</si>
  <si>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</si>
  <si>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</si>
  <si>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</si>
  <si>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</si>
  <si>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</si>
  <si>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</si>
  <si>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</si>
  <si>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</si>
  <si>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</si>
  <si>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</si>
  <si>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</si>
  <si>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</si>
  <si>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</si>
  <si>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</si>
  <si>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</si>
  <si>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</si>
  <si>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</si>
  <si>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</si>
  <si>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</si>
  <si>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</si>
  <si>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</si>
  <si>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</si>
  <si>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</si>
  <si>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</si>
  <si>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</si>
  <si>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</si>
  <si>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</si>
  <si>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</si>
  <si>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</si>
  <si>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</si>
  <si>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</si>
  <si>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</si>
  <si>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</si>
  <si>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</si>
  <si>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</si>
  <si>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</si>
  <si>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</si>
  <si>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</si>
  <si>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</si>
  <si>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</si>
  <si>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</si>
  <si>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</si>
  <si>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</si>
  <si>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</si>
  <si>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</si>
  <si>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</si>
  <si>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</si>
  <si>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</si>
  <si>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</si>
  <si>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</si>
  <si>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</si>
  <si>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</si>
  <si>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</si>
  <si>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</si>
  <si>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</si>
  <si>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</si>
  <si>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</si>
  <si>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</si>
  <si>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</si>
  <si>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</si>
  <si>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</si>
  <si>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</si>
  <si>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</si>
  <si>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</si>
  <si>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</si>
  <si>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</si>
  <si>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</si>
  <si>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</si>
  <si>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</si>
  <si>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</si>
  <si>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</si>
  <si>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</si>
  <si>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</si>
  <si>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</si>
  <si>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</si>
  <si>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</si>
  <si>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</si>
  <si>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</si>
  <si>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</si>
  <si>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</si>
  <si>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</si>
  <si>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</si>
  <si>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</si>
  <si>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</si>
  <si>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</si>
  <si>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</si>
  <si>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</si>
  <si>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</si>
  <si>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</si>
  <si>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</si>
  <si>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</si>
  <si>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</si>
  <si>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</si>
  <si>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</si>
  <si>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</si>
  <si>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</si>
  <si>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</si>
  <si>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</si>
  <si>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</si>
  <si>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</si>
  <si>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</si>
  <si>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</si>
  <si>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</si>
  <si>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</si>
  <si>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</si>
  <si>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</si>
  <si>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</si>
  <si>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</si>
  <si>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</si>
  <si>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</si>
  <si>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</si>
  <si>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</si>
  <si>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</si>
  <si>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</si>
  <si>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</si>
  <si>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</si>
  <si>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</si>
  <si>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</si>
  <si>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</si>
  <si>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</si>
  <si>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</si>
  <si>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</si>
  <si>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</si>
  <si>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</si>
  <si>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</si>
  <si>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</si>
  <si>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</si>
  <si>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</si>
  <si>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</si>
  <si>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</si>
  <si>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</si>
  <si>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</si>
  <si>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</si>
  <si>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</si>
  <si>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</si>
  <si>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</si>
  <si>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</si>
  <si>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</si>
  <si>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</si>
  <si>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</si>
  <si>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</si>
  <si>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</si>
  <si>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</si>
  <si>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</si>
  <si>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</si>
  <si>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</si>
  <si>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</si>
  <si>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</si>
  <si>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</si>
  <si>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</si>
  <si>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</si>
  <si>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</si>
  <si>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</si>
  <si>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</si>
  <si>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</si>
  <si>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</si>
  <si>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</si>
  <si>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</si>
  <si>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</si>
  <si>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</si>
  <si>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</si>
  <si>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</si>
  <si>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</si>
  <si>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</si>
  <si>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</si>
  <si>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</si>
  <si>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</si>
  <si>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</si>
  <si>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</si>
  <si>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</si>
  <si>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</si>
  <si>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</si>
  <si>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</si>
  <si>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</si>
  <si>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</si>
  <si>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</si>
  <si>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</si>
  <si>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</si>
  <si>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</si>
  <si>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</si>
  <si>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</si>
  <si>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</si>
  <si>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</si>
  <si>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</si>
  <si>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</si>
  <si>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</si>
  <si>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</si>
  <si>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</si>
  <si>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</si>
  <si>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</si>
  <si>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</si>
  <si>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</si>
  <si>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</si>
  <si>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</si>
  <si>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</si>
  <si>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</si>
  <si>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</si>
  <si>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</si>
  <si>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</si>
  <si>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</si>
  <si>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</si>
  <si>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</si>
  <si>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</si>
  <si>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</si>
  <si>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</si>
  <si>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</si>
  <si>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</si>
  <si>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</si>
  <si>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</si>
  <si>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</si>
  <si>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</si>
  <si>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</si>
  <si>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</si>
  <si>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</si>
  <si>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</si>
  <si>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</si>
  <si>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</si>
  <si>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</si>
  <si>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</si>
  <si>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</si>
  <si>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</si>
  <si>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</si>
  <si>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</si>
  <si>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</si>
  <si>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</si>
  <si>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</si>
  <si>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</si>
  <si>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</si>
  <si>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</si>
  <si>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</si>
  <si>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</si>
  <si>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</si>
  <si>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</si>
  <si>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</si>
  <si>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</si>
  <si>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</si>
  <si>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</si>
  <si>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</si>
  <si>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</si>
  <si>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</si>
  <si>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</si>
  <si>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</si>
  <si>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</si>
  <si>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</si>
  <si>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</si>
  <si>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</si>
  <si>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</si>
  <si>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</si>
  <si>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</si>
  <si>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</si>
  <si>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</si>
  <si>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</si>
  <si>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</si>
  <si>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</si>
  <si>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</si>
  <si>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</si>
  <si>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</si>
  <si>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</si>
  <si>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</si>
  <si>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</si>
  <si>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</si>
  <si>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</si>
  <si>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</si>
  <si>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</si>
  <si>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</si>
  <si>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</si>
  <si>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</si>
  <si>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</si>
  <si>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</si>
  <si>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</si>
  <si>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</si>
  <si>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</si>
  <si>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</si>
  <si>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</si>
  <si>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</si>
  <si>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</si>
  <si>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</si>
  <si>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</si>
  <si>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</si>
  <si>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</si>
  <si>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</si>
  <si>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</si>
  <si>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</si>
  <si>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</si>
  <si>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</si>
  <si>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</si>
  <si>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</si>
  <si>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</si>
  <si>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</si>
  <si>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</si>
  <si>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</si>
  <si>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</si>
  <si>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</si>
  <si>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</si>
  <si>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</si>
  <si>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</si>
  <si>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</si>
  <si>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</si>
  <si>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</si>
  <si>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</si>
  <si>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</si>
  <si>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</si>
  <si>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</si>
  <si>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</si>
  <si>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</si>
  <si>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</si>
  <si>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</si>
  <si>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</si>
  <si>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</si>
  <si>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</si>
  <si>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</si>
  <si>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</si>
  <si>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</si>
  <si>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</si>
  <si>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</si>
  <si>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</si>
  <si>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</si>
  <si>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</si>
  <si>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</si>
  <si>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</si>
  <si>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</si>
  <si>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</si>
  <si>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</si>
  <si>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</si>
  <si>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</si>
  <si>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</si>
  <si>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</si>
  <si>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</si>
  <si>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</si>
  <si>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</si>
  <si>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</si>
  <si>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</si>
  <si>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</si>
  <si>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</si>
  <si>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</si>
  <si>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</si>
  <si>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</si>
  <si>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</si>
  <si>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</si>
  <si>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</si>
  <si>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</si>
  <si>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</si>
  <si>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</si>
  <si>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</si>
  <si>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</si>
  <si>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</si>
  <si>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</si>
  <si>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</si>
  <si>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</si>
  <si>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</si>
  <si>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</si>
  <si>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</si>
  <si>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</si>
  <si>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</si>
  <si>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</si>
  <si>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</si>
  <si>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</si>
  <si>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</si>
  <si>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</si>
  <si>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</si>
  <si>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</si>
  <si>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</si>
  <si>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</si>
  <si>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</si>
  <si>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</si>
  <si>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</si>
  <si>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</si>
  <si>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</si>
  <si>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</si>
  <si>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</si>
  <si>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</si>
  <si>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</si>
  <si>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</si>
  <si>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</si>
  <si>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</si>
  <si>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</si>
  <si>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</si>
  <si>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</si>
  <si>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</si>
  <si>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</si>
  <si>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</si>
  <si>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</si>
  <si>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</si>
  <si>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</si>
  <si>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</si>
  <si>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</si>
  <si>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</si>
  <si>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</si>
  <si>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</si>
  <si>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</si>
  <si>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</si>
  <si>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</si>
  <si>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</si>
  <si>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</si>
  <si>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</si>
  <si>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</si>
  <si>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</si>
  <si>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</si>
  <si>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</si>
  <si>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</si>
  <si>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</si>
  <si>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</si>
  <si>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</si>
  <si>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</si>
  <si>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</si>
  <si>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</si>
  <si>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</si>
  <si>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</si>
  <si>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</si>
  <si>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</si>
  <si>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</si>
  <si>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</si>
  <si>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</si>
  <si>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</si>
  <si>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</si>
  <si>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</si>
  <si>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</si>
  <si>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</si>
  <si>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</si>
  <si>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</si>
  <si>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</si>
  <si>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</si>
  <si>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</si>
  <si>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</si>
  <si>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</si>
  <si>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</si>
  <si>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</si>
  <si>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</si>
  <si>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</si>
  <si>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</si>
  <si>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</si>
  <si>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</si>
  <si>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</si>
  <si>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</si>
  <si>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</si>
  <si>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</si>
  <si>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</si>
  <si>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</si>
  <si>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</si>
  <si>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</si>
  <si>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</si>
  <si>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</si>
  <si>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</si>
  <si>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</si>
  <si>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</si>
  <si>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</si>
  <si>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</si>
  <si>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</si>
  <si>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</si>
  <si>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</si>
  <si>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</si>
  <si>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</si>
  <si>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</si>
  <si>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</si>
  <si>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</si>
  <si>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</si>
  <si>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</si>
  <si>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</si>
  <si>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</si>
  <si>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</si>
  <si>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</si>
  <si>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</si>
  <si>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</si>
  <si>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</si>
  <si>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</si>
  <si>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</si>
  <si>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</si>
  <si>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</si>
  <si>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</si>
  <si>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</si>
  <si>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</si>
  <si>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</si>
  <si>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</si>
  <si>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</si>
  <si>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</si>
  <si>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</si>
  <si>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</si>
  <si>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</si>
  <si>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</si>
  <si>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</si>
  <si>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</si>
  <si>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</si>
  <si>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</si>
  <si>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</si>
  <si>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</si>
  <si>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</si>
  <si>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</si>
  <si>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</si>
  <si>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</si>
  <si>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</si>
  <si>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</si>
  <si>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</si>
  <si>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</si>
  <si>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</si>
  <si>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</si>
  <si>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</si>
  <si>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</si>
  <si>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</si>
  <si>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</si>
  <si>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</si>
  <si>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</si>
  <si>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</si>
  <si>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</si>
  <si>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</si>
  <si>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</si>
  <si>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</si>
  <si>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</si>
  <si>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</si>
  <si>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</si>
  <si>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</si>
  <si>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</si>
  <si>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</si>
  <si>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</si>
  <si>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</si>
  <si>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</si>
  <si>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</si>
  <si>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</si>
  <si>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</si>
  <si>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</si>
  <si>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</si>
  <si>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</si>
  <si>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</si>
  <si>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</si>
  <si>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</si>
  <si>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</si>
  <si>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</si>
  <si>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</si>
  <si>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</si>
  <si>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</si>
  <si>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</si>
  <si>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</si>
  <si>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</si>
  <si>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</si>
  <si>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</si>
  <si>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</si>
  <si>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</si>
  <si>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</si>
  <si>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</si>
  <si>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</si>
  <si>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</si>
  <si>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</si>
  <si>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</si>
  <si>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</si>
  <si>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</si>
  <si>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</si>
  <si>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</si>
  <si>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</si>
  <si>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</si>
  <si>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</si>
  <si>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</si>
  <si>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</si>
  <si>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</si>
  <si>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</si>
  <si>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</si>
  <si>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</si>
  <si>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</si>
  <si>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</si>
  <si>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</si>
  <si>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</si>
  <si>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</si>
  <si>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</si>
  <si>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</si>
  <si>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</si>
  <si>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</si>
  <si>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</si>
  <si>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</si>
  <si>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</si>
  <si>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</si>
  <si>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</si>
  <si>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</si>
  <si>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</si>
  <si>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</si>
  <si>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</si>
  <si>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</si>
  <si>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</si>
  <si>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</si>
  <si>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</si>
  <si>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</si>
  <si>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</si>
  <si>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</si>
  <si>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</si>
  <si>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</si>
  <si>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</si>
  <si>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</si>
  <si>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</si>
  <si>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</si>
  <si>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</si>
  <si>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</si>
  <si>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</si>
  <si>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</si>
  <si>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</si>
  <si>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</si>
  <si>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</si>
  <si>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</si>
  <si>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</si>
  <si>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</si>
  <si>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</si>
  <si>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</si>
  <si>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</si>
  <si>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</si>
  <si>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</si>
  <si>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</si>
  <si>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</si>
  <si>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</si>
  <si>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</si>
  <si>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</si>
  <si>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</si>
  <si>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</si>
  <si>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</si>
  <si>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</si>
  <si>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</si>
  <si>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</si>
  <si>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</si>
  <si>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</si>
  <si>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</si>
  <si>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</si>
  <si>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</si>
  <si>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</si>
  <si>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</si>
  <si>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</si>
  <si>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</si>
  <si>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</si>
  <si>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</si>
  <si>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</si>
  <si>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</si>
  <si>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</si>
  <si>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</si>
  <si>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</si>
  <si>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</si>
  <si>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</si>
  <si>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</si>
  <si>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</si>
  <si>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</si>
  <si>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</si>
  <si>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</si>
  <si>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</si>
  <si>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</si>
  <si>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</si>
  <si>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</si>
  <si>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</si>
  <si>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</si>
  <si>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</si>
  <si>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</si>
  <si>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</si>
  <si>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</si>
  <si>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</si>
  <si>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</si>
  <si>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</si>
  <si>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</si>
  <si>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</si>
  <si>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</si>
  <si>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</si>
  <si>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</si>
  <si>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</si>
  <si>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</si>
  <si>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</si>
  <si>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</si>
  <si>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</si>
  <si>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</si>
  <si>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</si>
  <si>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</si>
  <si>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</si>
  <si>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</si>
  <si>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</si>
  <si>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</si>
  <si>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</si>
  <si>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</si>
  <si>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</si>
  <si>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</si>
  <si>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</si>
  <si>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</si>
  <si>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</si>
  <si>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</si>
  <si>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</si>
  <si>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</si>
  <si>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</si>
  <si>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</si>
  <si>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</si>
  <si>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</si>
  <si>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</si>
  <si>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</si>
  <si>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</si>
  <si>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</si>
  <si>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</si>
  <si>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</si>
  <si>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</si>
  <si>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</si>
  <si>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</si>
  <si>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</si>
  <si>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</si>
  <si>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</si>
  <si>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</si>
  <si>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</si>
  <si>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</si>
  <si>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</si>
  <si>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</si>
  <si>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</si>
  <si>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</si>
  <si>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</si>
  <si>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</si>
  <si>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</si>
  <si>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</si>
  <si>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</si>
  <si>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</si>
  <si>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</si>
  <si>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</si>
  <si>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</si>
  <si>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</si>
  <si>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</si>
  <si>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</si>
  <si>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</si>
  <si>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</si>
  <si>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</si>
  <si>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</si>
  <si>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</si>
  <si>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</si>
  <si>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</si>
  <si>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</si>
  <si>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</si>
  <si>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</si>
  <si>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</si>
  <si>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</si>
  <si>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</si>
  <si>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</si>
  <si>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</si>
  <si>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</si>
  <si>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</si>
  <si>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</si>
  <si>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</si>
  <si>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</si>
  <si>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</si>
  <si>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</si>
  <si>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</si>
  <si>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</si>
  <si>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</si>
  <si>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</si>
  <si>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</si>
  <si>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</si>
  <si>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</si>
  <si>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</si>
  <si>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</si>
  <si>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</si>
  <si>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</si>
  <si>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</si>
  <si>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</si>
  <si>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</si>
  <si>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</si>
  <si>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</si>
  <si>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</si>
  <si>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</si>
  <si>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</si>
  <si>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</si>
  <si>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</si>
  <si>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</si>
  <si>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</si>
  <si>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</si>
  <si>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</si>
  <si>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</si>
  <si>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</si>
  <si>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</si>
  <si>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</si>
  <si>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</si>
  <si>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</si>
  <si>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</si>
  <si>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</si>
  <si>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</si>
  <si>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</si>
  <si>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</si>
  <si>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</si>
  <si>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</si>
  <si>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</si>
  <si>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</si>
  <si>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</si>
  <si>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</si>
  <si>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</si>
  <si>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</si>
  <si>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</si>
  <si>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</si>
  <si>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</si>
  <si>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</si>
  <si>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</si>
  <si>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</si>
  <si>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</si>
  <si>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</si>
  <si>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</si>
  <si>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</si>
  <si>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</si>
  <si>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</si>
  <si>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</si>
  <si>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</si>
  <si>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</si>
  <si>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</si>
  <si>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</si>
  <si>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</si>
  <si>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</si>
  <si>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</si>
  <si>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</si>
  <si>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</si>
  <si>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</si>
  <si>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</si>
  <si>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</si>
  <si>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</si>
  <si>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</si>
  <si>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</si>
  <si>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</si>
  <si>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</si>
  <si>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</si>
  <si>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</si>
  <si>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</si>
  <si>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</si>
  <si>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</si>
  <si>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</si>
  <si>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</si>
  <si>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</si>
  <si>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</si>
  <si>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</si>
  <si>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</si>
  <si>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</si>
  <si>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</si>
  <si>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</si>
  <si>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</si>
  <si>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</si>
  <si>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</si>
  <si>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</si>
  <si>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</si>
  <si>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</si>
  <si>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</si>
  <si>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</si>
  <si>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</si>
  <si>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</si>
  <si>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</si>
  <si>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</si>
  <si>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</si>
  <si>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</si>
  <si>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</si>
  <si>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</si>
  <si>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</si>
  <si>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</si>
  <si>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</si>
  <si>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</si>
  <si>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</si>
  <si>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</si>
  <si>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</si>
  <si>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</si>
  <si>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</si>
  <si>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</si>
  <si>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</si>
  <si>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</si>
  <si>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</si>
  <si>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</si>
  <si>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</si>
  <si>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</si>
  <si>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</si>
  <si>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</si>
  <si>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</si>
  <si>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</si>
  <si>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</si>
  <si>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</si>
  <si>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</si>
  <si>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</si>
  <si>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</si>
  <si>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</si>
  <si>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</si>
  <si>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</si>
  <si>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</si>
  <si>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</si>
  <si>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</si>
  <si>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</si>
  <si>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</si>
  <si>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</si>
  <si>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</si>
  <si>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</si>
  <si>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</si>
  <si>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</si>
  <si>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</si>
  <si>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</si>
  <si>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</si>
  <si>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</si>
  <si>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</si>
  <si>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</si>
  <si>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</si>
  <si>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</si>
  <si>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</si>
  <si>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</si>
  <si>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</si>
  <si>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</si>
  <si>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</si>
  <si>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</si>
  <si>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</si>
  <si>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</si>
  <si>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</si>
  <si>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</si>
  <si>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</si>
  <si>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</si>
  <si>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</si>
  <si>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</si>
  <si>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</si>
  <si>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</si>
  <si>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</si>
  <si>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</si>
  <si>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</si>
  <si>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</si>
  <si>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</si>
  <si>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</si>
  <si>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</si>
  <si>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</si>
  <si>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</si>
  <si>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</si>
  <si>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</si>
  <si>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</si>
  <si>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</si>
  <si>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</si>
  <si>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</si>
  <si>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</si>
  <si>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</si>
  <si>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</si>
  <si>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</si>
  <si>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</si>
  <si>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</si>
  <si>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</si>
  <si>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</si>
  <si>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</si>
  <si>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</si>
  <si>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</si>
  <si>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</si>
  <si>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</si>
  <si>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</si>
  <si>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</si>
  <si>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</si>
  <si>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</si>
  <si>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</si>
  <si>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</si>
  <si>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</si>
  <si>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</si>
  <si>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</si>
  <si>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</si>
  <si>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</si>
  <si>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</si>
  <si>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</si>
  <si>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</si>
  <si>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</si>
  <si>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</si>
  <si>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</si>
  <si>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</si>
  <si>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</si>
  <si>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</si>
  <si>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</si>
  <si>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</si>
  <si>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</si>
  <si>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</si>
  <si>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</si>
  <si>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</si>
  <si>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</si>
  <si>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</si>
  <si>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</si>
  <si>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</si>
  <si>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</si>
  <si>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</si>
  <si>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</si>
  <si>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</si>
  <si>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</si>
  <si>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</si>
  <si>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</si>
  <si>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</si>
  <si>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</si>
  <si>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</si>
  <si>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</si>
  <si>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</si>
  <si>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</si>
  <si>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</si>
  <si>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</si>
  <si>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</si>
  <si>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</si>
  <si>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</si>
  <si>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</si>
  <si>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</si>
  <si>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</si>
  <si>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</si>
  <si>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</si>
  <si>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</si>
  <si>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</si>
  <si>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</si>
  <si>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</si>
  <si>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</si>
  <si>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</si>
  <si>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</si>
  <si>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</si>
  <si>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</si>
  <si>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</si>
  <si>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</si>
  <si>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</si>
  <si>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</si>
  <si>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</si>
  <si>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</si>
  <si>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</si>
  <si>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</si>
  <si>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</si>
  <si>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</si>
  <si>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</si>
  <si>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</si>
  <si>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</si>
  <si>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</si>
  <si>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</si>
  <si>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</si>
  <si>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</si>
  <si>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</si>
  <si>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</si>
  <si>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</si>
  <si>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</si>
  <si>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</si>
  <si>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</si>
  <si>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</si>
  <si>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</si>
  <si>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</si>
  <si>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</si>
  <si>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</si>
  <si>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</si>
  <si>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</si>
  <si>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</si>
  <si>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</si>
  <si>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</si>
  <si>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</si>
  <si>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</si>
  <si>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</si>
  <si>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</si>
  <si>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</si>
  <si>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</si>
  <si>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</si>
  <si>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</si>
  <si>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</si>
  <si>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</si>
  <si>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</si>
  <si>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</si>
  <si>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</si>
  <si>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</si>
  <si>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</si>
  <si>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</si>
  <si>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</si>
  <si>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</si>
  <si>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</si>
  <si>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</si>
  <si>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</si>
  <si>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</si>
  <si>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</si>
  <si>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</si>
  <si>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</si>
  <si>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</si>
  <si>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</si>
  <si>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</si>
  <si>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</si>
  <si>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</si>
  <si>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</si>
  <si>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</si>
  <si>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</si>
  <si>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</si>
  <si>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</si>
  <si>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</si>
  <si>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</si>
  <si>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</si>
  <si>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</si>
  <si>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</si>
  <si>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</si>
  <si>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</si>
  <si>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</si>
  <si>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</si>
  <si>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</si>
  <si>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</si>
  <si>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</si>
  <si>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</si>
  <si>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</si>
  <si>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</si>
  <si>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</si>
  <si>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</si>
  <si>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</si>
  <si>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</si>
  <si>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</si>
  <si>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</si>
  <si>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</si>
  <si>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</si>
  <si>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</si>
  <si>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</si>
  <si>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</si>
  <si>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</si>
  <si>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</si>
  <si>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</si>
  <si>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</si>
  <si>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</si>
  <si>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</si>
  <si>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</si>
  <si>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</si>
  <si>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</si>
  <si>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</si>
  <si>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</si>
  <si>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</si>
  <si>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</si>
  <si>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</si>
  <si>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</si>
  <si>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</si>
  <si>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</si>
  <si>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</si>
  <si>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</si>
  <si>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</si>
  <si>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</si>
  <si>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</si>
  <si>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</si>
  <si>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</si>
  <si>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</si>
  <si>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</si>
  <si>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</si>
  <si>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</si>
  <si>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</si>
  <si>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</si>
  <si>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</si>
  <si>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</si>
  <si>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</si>
  <si>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</si>
  <si>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</si>
  <si>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</si>
  <si>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</si>
  <si>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</si>
  <si>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</si>
  <si>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</si>
  <si>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</si>
  <si>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</si>
  <si>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</si>
  <si>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</si>
  <si>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</si>
  <si>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</si>
  <si>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</si>
  <si>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</si>
  <si>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</si>
  <si>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</si>
  <si>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</si>
  <si>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</si>
  <si>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</si>
  <si>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</si>
  <si>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</si>
  <si>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</si>
  <si>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</si>
  <si>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</si>
  <si>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</si>
  <si>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</si>
  <si>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</si>
  <si>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</si>
  <si>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</si>
  <si>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</si>
  <si>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</si>
  <si>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</si>
  <si>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</si>
  <si>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</si>
  <si>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</si>
  <si>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</si>
  <si>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</si>
  <si>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</si>
  <si>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</si>
  <si>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</si>
  <si>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</si>
  <si>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</si>
  <si>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</si>
  <si>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</si>
  <si>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</si>
  <si>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</si>
  <si>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</si>
  <si>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</si>
  <si>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</si>
  <si>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</si>
  <si>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</si>
  <si>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</si>
  <si>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</si>
  <si>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</si>
  <si>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</si>
  <si>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</si>
  <si>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</si>
  <si>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</si>
  <si>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</si>
  <si>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</si>
  <si>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</si>
  <si>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</si>
  <si>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</si>
  <si>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</si>
  <si>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</si>
  <si>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</si>
  <si>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</si>
  <si>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</si>
  <si>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</si>
  <si>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</si>
  <si>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</si>
  <si>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</si>
  <si>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</si>
  <si>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</si>
  <si>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</si>
  <si>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</si>
  <si>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</si>
  <si>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</si>
  <si>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</si>
  <si>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</si>
  <si>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</si>
  <si>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</si>
  <si>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</si>
  <si>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</si>
  <si>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</si>
  <si>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</si>
  <si>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</si>
  <si>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</si>
  <si>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</si>
  <si>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</si>
  <si>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</si>
  <si>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</si>
  <si>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</si>
  <si>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</si>
  <si>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</si>
  <si>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</si>
  <si>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</si>
  <si>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</si>
  <si>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</si>
  <si>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</si>
  <si>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</si>
  <si>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</si>
  <si>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</si>
  <si>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</si>
  <si>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</si>
  <si>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</si>
  <si>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</si>
  <si>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</si>
  <si>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</si>
  <si>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</si>
  <si>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</si>
  <si>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</si>
  <si>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</si>
  <si>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</si>
  <si>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</si>
  <si>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</si>
  <si>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</si>
  <si>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</si>
  <si>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</si>
  <si>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</si>
  <si>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</si>
  <si>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</si>
  <si>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</si>
  <si>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</si>
  <si>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</si>
  <si>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</si>
  <si>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</si>
  <si>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</si>
  <si>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</si>
  <si>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</si>
  <si>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</si>
  <si>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</si>
  <si>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</si>
  <si>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</si>
  <si>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</si>
  <si>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</si>
  <si>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</si>
  <si>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</si>
  <si>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</si>
  <si>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</si>
  <si>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</si>
  <si>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</si>
  <si>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</si>
  <si>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</si>
  <si>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</si>
  <si>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</si>
  <si>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</si>
  <si>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</si>
  <si>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</si>
  <si>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</si>
  <si>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</si>
  <si>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</si>
  <si>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</si>
  <si>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</si>
  <si>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</si>
  <si>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</si>
  <si>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</si>
  <si>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</si>
  <si>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</si>
  <si>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</si>
  <si>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</si>
  <si>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</si>
  <si>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</si>
  <si>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</si>
  <si>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</si>
  <si>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</si>
  <si>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</si>
  <si>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</si>
  <si>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</si>
  <si>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</si>
  <si>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</si>
  <si>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</si>
  <si>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</si>
  <si>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</si>
  <si>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</si>
  <si>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</si>
  <si>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</si>
  <si>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</si>
  <si>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</si>
  <si>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</si>
  <si>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</si>
  <si>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</si>
  <si>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</si>
  <si>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</si>
  <si>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</si>
  <si>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</si>
  <si>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</si>
  <si>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</si>
  <si>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</si>
  <si>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</si>
  <si>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</si>
  <si>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</si>
  <si>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</si>
  <si>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</si>
  <si>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</si>
  <si>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</si>
  <si>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</si>
  <si>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</si>
  <si>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</si>
  <si>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</si>
  <si>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</si>
  <si>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</si>
  <si>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</si>
  <si>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</si>
  <si>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</si>
  <si>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</si>
  <si>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</si>
  <si>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</si>
  <si>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</si>
  <si>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</si>
  <si>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</si>
  <si>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</si>
  <si>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</si>
  <si>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</si>
  <si>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</si>
  <si>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</si>
  <si>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</si>
  <si>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</si>
  <si>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</si>
  <si>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</si>
  <si>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</si>
  <si>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</si>
  <si>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</si>
  <si>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</si>
  <si>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</si>
  <si>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</si>
  <si>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</si>
  <si>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</si>
  <si>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</si>
  <si>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</si>
  <si>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</si>
  <si>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</si>
  <si>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</si>
  <si>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</si>
  <si>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</si>
  <si>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</si>
  <si>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</si>
  <si>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</si>
  <si>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</si>
  <si>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</si>
  <si>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</si>
  <si>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</si>
  <si>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</si>
  <si>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</si>
  <si>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</si>
  <si>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</si>
  <si>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</si>
  <si>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</si>
  <si>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</si>
  <si>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</si>
  <si>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</si>
  <si>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</si>
  <si>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</si>
  <si>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</si>
  <si>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</si>
  <si>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</si>
  <si>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</si>
  <si>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</si>
  <si>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</si>
  <si>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</si>
  <si>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</si>
  <si>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</si>
  <si>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</si>
  <si>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</si>
  <si>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</si>
  <si>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</si>
  <si>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</si>
  <si>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</si>
  <si>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</si>
  <si>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</si>
  <si>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</si>
  <si>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</si>
  <si>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</si>
  <si>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</si>
  <si>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</si>
  <si>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</si>
  <si>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</si>
  <si>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</si>
  <si>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</si>
  <si>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</si>
  <si>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</si>
  <si>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</si>
  <si>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</si>
  <si>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</si>
  <si>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</si>
  <si>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</si>
  <si>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</si>
  <si>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</si>
  <si>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</si>
  <si>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</si>
  <si>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</si>
  <si>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</si>
  <si>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</si>
  <si>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</si>
  <si>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</si>
  <si>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</si>
  <si>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</si>
  <si>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</si>
  <si>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</si>
  <si>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</si>
  <si>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</si>
  <si>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</si>
  <si>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</si>
  <si>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</si>
  <si>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</si>
  <si>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出让</t>
  </si>
  <si>
    <t>综合项目（商业、办公）</t>
  </si>
  <si>
    <t>现房</t>
  </si>
  <si>
    <t>通路</t>
  </si>
  <si>
    <t>通电</t>
  </si>
  <si>
    <t>通讯</t>
  </si>
  <si>
    <t>通上水</t>
  </si>
  <si>
    <t>通下水</t>
  </si>
  <si>
    <t>燃气</t>
  </si>
  <si>
    <t>是</t>
  </si>
  <si>
    <t>部位</t>
  </si>
  <si>
    <t>建筑面积</t>
  </si>
  <si>
    <t>地下2层商业</t>
  </si>
  <si>
    <t>地下1层商业</t>
  </si>
  <si>
    <t>1层商业</t>
  </si>
  <si>
    <t>2层商业</t>
  </si>
  <si>
    <t>3层商业</t>
  </si>
  <si>
    <t>4层商业</t>
  </si>
  <si>
    <t>5层商业</t>
  </si>
  <si>
    <t>车库</t>
  </si>
  <si>
    <t>设备</t>
  </si>
  <si>
    <t>地上</t>
  </si>
  <si>
    <t>底商</t>
  </si>
  <si>
    <t>办公楼</t>
  </si>
  <si>
    <t>地下</t>
  </si>
  <si>
    <t>土地面积</t>
    <phoneticPr fontId="143" type="noConversion"/>
  </si>
  <si>
    <t>办公</t>
    <phoneticPr fontId="7" type="noConversion"/>
  </si>
  <si>
    <t>地下车库</t>
    <phoneticPr fontId="7" type="noConversion"/>
  </si>
  <si>
    <t>项目全部</t>
  </si>
  <si>
    <t>比较法-办公</t>
  </si>
  <si>
    <t>售价</t>
  </si>
  <si>
    <t>商业</t>
    <phoneticPr fontId="31" type="noConversion"/>
  </si>
  <si>
    <t>30-40（含）</t>
  </si>
  <si>
    <t>地下商业</t>
  </si>
  <si>
    <t>1层商业</t>
    <phoneticPr fontId="7" type="noConversion"/>
  </si>
  <si>
    <t>地下商业</t>
    <phoneticPr fontId="7" type="noConversion"/>
  </si>
  <si>
    <t>成新度</t>
  </si>
  <si>
    <t>押一</t>
  </si>
  <si>
    <t>按租金收入计税</t>
  </si>
  <si>
    <t>钢混</t>
  </si>
  <si>
    <t>非生产用房</t>
  </si>
  <si>
    <t>收益法 (地下商业)</t>
  </si>
  <si>
    <t>收益法 (地下商业)</t>
    <phoneticPr fontId="16" type="noConversion"/>
  </si>
  <si>
    <t>收益法 (办公)</t>
  </si>
  <si>
    <t>收益法 (办公)</t>
    <phoneticPr fontId="16" type="noConversion"/>
  </si>
  <si>
    <t>收益法 (地下车库)</t>
  </si>
  <si>
    <t>收益法 (地下车库)</t>
    <phoneticPr fontId="16" type="noConversion"/>
  </si>
  <si>
    <t>收益法（1层商业）</t>
  </si>
  <si>
    <t>收益法（1层商业）</t>
    <phoneticPr fontId="16" type="noConversion"/>
  </si>
  <si>
    <t>收益法（汇总）</t>
  </si>
  <si>
    <t>鼎好</t>
    <phoneticPr fontId="3" type="noConversion"/>
  </si>
  <si>
    <t>办公</t>
    <phoneticPr fontId="32" type="noConversion"/>
  </si>
  <si>
    <t>九和大厦</t>
    <phoneticPr fontId="143" type="noConversion"/>
  </si>
  <si>
    <t>西直门</t>
    <phoneticPr fontId="143" type="noConversion"/>
  </si>
  <si>
    <t>办公</t>
    <phoneticPr fontId="143" type="noConversion"/>
  </si>
  <si>
    <t>股权交易</t>
    <phoneticPr fontId="143" type="noConversion"/>
  </si>
  <si>
    <t>北京九合创业房地产开发有限公司</t>
    <phoneticPr fontId="143" type="noConversion"/>
  </si>
  <si>
    <t>开发商</t>
    <phoneticPr fontId="143" type="noConversion"/>
  </si>
  <si>
    <t>阳光城集团</t>
    <phoneticPr fontId="143" type="noConversion"/>
  </si>
  <si>
    <t>散售</t>
    <phoneticPr fontId="143" type="noConversion"/>
  </si>
  <si>
    <t>空置、买方计划散售</t>
    <phoneticPr fontId="143" type="noConversion"/>
  </si>
  <si>
    <t>西城区</t>
    <phoneticPr fontId="143" type="noConversion"/>
  </si>
  <si>
    <t>商业</t>
    <phoneticPr fontId="143" type="noConversion"/>
  </si>
  <si>
    <t>N/A</t>
    <phoneticPr fontId="143" type="noConversion"/>
  </si>
  <si>
    <t>股权交易</t>
    <phoneticPr fontId="143" type="noConversion"/>
  </si>
  <si>
    <t>华联</t>
    <phoneticPr fontId="143" type="noConversion"/>
  </si>
  <si>
    <t>民营企业</t>
    <phoneticPr fontId="143" type="noConversion"/>
  </si>
  <si>
    <t>锦和投资</t>
    <phoneticPr fontId="143" type="noConversion"/>
  </si>
  <si>
    <t>房地产基金</t>
    <phoneticPr fontId="143" type="noConversion"/>
  </si>
  <si>
    <t>改造</t>
    <phoneticPr fontId="143" type="noConversion"/>
  </si>
  <si>
    <t>石景山</t>
    <phoneticPr fontId="143" type="noConversion"/>
  </si>
  <si>
    <t>办公</t>
    <phoneticPr fontId="143" type="noConversion"/>
  </si>
  <si>
    <t>资产交易</t>
    <phoneticPr fontId="143" type="noConversion"/>
  </si>
  <si>
    <t>泰禾集团</t>
    <phoneticPr fontId="143" type="noConversion"/>
  </si>
  <si>
    <t>北京量钭科技</t>
  </si>
  <si>
    <t>民营企业</t>
    <phoneticPr fontId="143" type="noConversion"/>
  </si>
  <si>
    <t>自用</t>
    <phoneticPr fontId="143" type="noConversion"/>
  </si>
  <si>
    <t>海淀区</t>
    <phoneticPr fontId="143" type="noConversion"/>
  </si>
  <si>
    <t>酒店</t>
    <phoneticPr fontId="143" type="noConversion"/>
  </si>
  <si>
    <t>首创集团</t>
    <phoneticPr fontId="143" type="noConversion"/>
  </si>
  <si>
    <t>开发商</t>
    <phoneticPr fontId="143" type="noConversion"/>
  </si>
  <si>
    <t>某海淀区国资</t>
    <phoneticPr fontId="143" type="noConversion"/>
  </si>
  <si>
    <t>国企机构</t>
    <phoneticPr fontId="143" type="noConversion"/>
  </si>
  <si>
    <t>较好</t>
  </si>
  <si>
    <t>一般</t>
  </si>
  <si>
    <t>广安门购物中心</t>
    <phoneticPr fontId="143" type="noConversion"/>
  </si>
  <si>
    <t>翠宫饭店</t>
    <phoneticPr fontId="143" type="noConversion"/>
  </si>
  <si>
    <t>七通</t>
  </si>
  <si>
    <t>北四环西路</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</si>
  <si>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</si>
  <si>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</si>
  <si>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</si>
  <si>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</si>
  <si>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</si>
  <si>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</si>
  <si>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</si>
  <si>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</si>
  <si>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广安门外大街</t>
    <phoneticPr fontId="32" type="noConversion"/>
  </si>
  <si>
    <t>鲁谷路</t>
    <phoneticPr fontId="32" type="noConversion"/>
  </si>
  <si>
    <t>知春路</t>
    <phoneticPr fontId="32" type="noConversion"/>
  </si>
  <si>
    <t>普通装修</t>
  </si>
  <si>
    <t>普通装修</t>
    <phoneticPr fontId="32" type="noConversion"/>
  </si>
  <si>
    <t>标准层高</t>
  </si>
  <si>
    <t>标准层高</t>
    <phoneticPr fontId="32" type="noConversion"/>
  </si>
  <si>
    <t>七通</t>
    <phoneticPr fontId="32" type="noConversion"/>
  </si>
  <si>
    <t>六通</t>
  </si>
  <si>
    <t>六通</t>
    <phoneticPr fontId="32" type="noConversion"/>
  </si>
  <si>
    <t>五通</t>
    <phoneticPr fontId="32" type="noConversion"/>
  </si>
  <si>
    <t>四通</t>
    <phoneticPr fontId="32" type="noConversion"/>
  </si>
  <si>
    <t>专业</t>
  </si>
  <si>
    <t>专业</t>
    <phoneticPr fontId="32" type="noConversion"/>
  </si>
  <si>
    <t>较好</t>
    <phoneticPr fontId="32" type="noConversion"/>
  </si>
  <si>
    <t>钢混</t>
    <phoneticPr fontId="32" type="noConversion"/>
  </si>
  <si>
    <t>标准写字楼</t>
  </si>
  <si>
    <t>标准写字楼</t>
    <phoneticPr fontId="32" type="noConversion"/>
  </si>
  <si>
    <t>泰禾长安中心
B栋3~21层</t>
    <phoneticPr fontId="143" type="noConversion"/>
  </si>
  <si>
    <t>序号</t>
    <phoneticPr fontId="143" type="noConversion"/>
  </si>
  <si>
    <t>项目</t>
    <phoneticPr fontId="143" type="noConversion"/>
  </si>
  <si>
    <t>图片</t>
    <phoneticPr fontId="143" type="noConversion"/>
  </si>
  <si>
    <t>位置</t>
    <phoneticPr fontId="143" type="noConversion"/>
  </si>
  <si>
    <t>交易时间</t>
    <phoneticPr fontId="143" type="noConversion"/>
  </si>
  <si>
    <t>物业类型</t>
    <phoneticPr fontId="143" type="noConversion"/>
  </si>
  <si>
    <r>
      <t xml:space="preserve">成交金额
</t>
    </r>
    <r>
      <rPr>
        <sz val="9"/>
        <color theme="1"/>
        <rFont val="华文中宋"/>
        <family val="3"/>
        <charset val="134"/>
      </rPr>
      <t>(亿元)</t>
    </r>
    <phoneticPr fontId="143" type="noConversion"/>
  </si>
  <si>
    <r>
      <t xml:space="preserve">地上面积
</t>
    </r>
    <r>
      <rPr>
        <sz val="9"/>
        <color theme="1"/>
        <rFont val="华文中宋"/>
        <family val="3"/>
        <charset val="134"/>
      </rPr>
      <t>(平方米)</t>
    </r>
    <phoneticPr fontId="143" type="noConversion"/>
  </si>
  <si>
    <r>
      <t xml:space="preserve">单价
</t>
    </r>
    <r>
      <rPr>
        <sz val="9"/>
        <color theme="1"/>
        <rFont val="华文中宋"/>
        <family val="3"/>
        <charset val="134"/>
      </rPr>
      <t>(万/平方米)</t>
    </r>
    <phoneticPr fontId="143" type="noConversion"/>
  </si>
  <si>
    <r>
      <t xml:space="preserve">租金单价
</t>
    </r>
    <r>
      <rPr>
        <sz val="9"/>
        <color theme="1"/>
        <rFont val="华文中宋"/>
        <family val="3"/>
        <charset val="134"/>
      </rPr>
      <t>(元/平方米/天)</t>
    </r>
    <phoneticPr fontId="143" type="noConversion"/>
  </si>
  <si>
    <t>净收益率</t>
    <phoneticPr fontId="143" type="noConversion"/>
  </si>
  <si>
    <t>交易结构</t>
    <phoneticPr fontId="143" type="noConversion"/>
  </si>
  <si>
    <t>卖方</t>
    <phoneticPr fontId="143" type="noConversion"/>
  </si>
  <si>
    <t>卖方类型</t>
    <phoneticPr fontId="143" type="noConversion"/>
  </si>
  <si>
    <t>买方</t>
    <phoneticPr fontId="143" type="noConversion"/>
  </si>
  <si>
    <t>买房类型</t>
    <phoneticPr fontId="143" type="noConversion"/>
  </si>
  <si>
    <t>收购目的</t>
    <phoneticPr fontId="143" type="noConversion"/>
  </si>
  <si>
    <t>备注</t>
    <phoneticPr fontId="143" type="noConversion"/>
  </si>
  <si>
    <t>其他类型改造</t>
  </si>
  <si>
    <t>其他类型改造</t>
    <phoneticPr fontId="32" type="noConversion"/>
  </si>
  <si>
    <t>甲级写字楼</t>
  </si>
  <si>
    <t>甲级写字楼</t>
    <phoneticPr fontId="32" type="noConversion"/>
  </si>
  <si>
    <t>乙级写字楼</t>
  </si>
  <si>
    <t>乙级写字楼</t>
    <phoneticPr fontId="32" type="noConversion"/>
  </si>
  <si>
    <t>未评级写字楼</t>
  </si>
  <si>
    <t>未评级写字楼</t>
    <phoneticPr fontId="32" type="noConversion"/>
  </si>
  <si>
    <t>10-20（含）</t>
  </si>
  <si>
    <t>40-50（含）</t>
  </si>
  <si>
    <t>自定义</t>
  </si>
  <si>
    <t>分摊土地</t>
    <phoneticPr fontId="143" type="noConversion"/>
  </si>
  <si>
    <t>分摊土地面积</t>
  </si>
  <si>
    <t>建筑物价值</t>
  </si>
  <si>
    <t>土地</t>
    <phoneticPr fontId="143" type="noConversion"/>
  </si>
  <si>
    <t>建筑物</t>
    <phoneticPr fontId="143" type="noConversion"/>
  </si>
  <si>
    <t>商业</t>
    <phoneticPr fontId="143" type="noConversion"/>
  </si>
  <si>
    <t>楼层</t>
    <phoneticPr fontId="143" type="noConversion"/>
  </si>
  <si>
    <t>办公</t>
    <phoneticPr fontId="143" type="noConversion"/>
  </si>
  <si>
    <t>地下车库</t>
    <phoneticPr fontId="143" type="noConversion"/>
  </si>
  <si>
    <t>建筑面积</t>
    <phoneticPr fontId="143" type="noConversion"/>
  </si>
  <si>
    <t>设备</t>
    <phoneticPr fontId="143" type="noConversion"/>
  </si>
  <si>
    <t>——</t>
    <phoneticPr fontId="143" type="noConversion"/>
  </si>
  <si>
    <t>用途</t>
    <phoneticPr fontId="143" type="noConversion"/>
  </si>
  <si>
    <t>序号</t>
    <phoneticPr fontId="143" type="noConversion"/>
  </si>
  <si>
    <t>合计</t>
    <phoneticPr fontId="143" type="noConversion"/>
  </si>
  <si>
    <r>
      <t>地下2层至地上</t>
    </r>
    <r>
      <rPr>
        <sz val="11"/>
        <color theme="1"/>
        <rFont val="宋体"/>
        <family val="3"/>
        <charset val="134"/>
        <scheme val="minor"/>
      </rPr>
      <t>1层</t>
    </r>
    <phoneticPr fontId="143" type="noConversion"/>
  </si>
  <si>
    <t>3-18层</t>
    <phoneticPr fontId="143" type="noConversion"/>
  </si>
  <si>
    <t>地下3层至5层</t>
    <phoneticPr fontId="143" type="noConversion"/>
  </si>
  <si>
    <t>交易方式</t>
    <phoneticPr fontId="32" type="noConversion"/>
  </si>
  <si>
    <t>股权交易</t>
    <phoneticPr fontId="32" type="noConversion"/>
  </si>
  <si>
    <t>资产交易</t>
    <phoneticPr fontId="32" type="noConversion"/>
  </si>
  <si>
    <t>情况4</t>
  </si>
  <si>
    <t>正常</t>
  </si>
  <si>
    <t>自行开发建设</t>
  </si>
  <si>
    <t>出让金+开发费</t>
  </si>
  <si>
    <t>企业提供（在右侧录入）</t>
  </si>
  <si>
    <t>吴薇</t>
  </si>
  <si>
    <t>崔锴</t>
  </si>
  <si>
    <t>兴业银行股份有限公司安华支行</t>
    <phoneticPr fontId="6" type="noConversion"/>
  </si>
  <si>
    <t>2019-1-0009-P01DYGJ1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</si>
</sst>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
    <numFmt numFmtId="198" formatCode="_ * #,##0.00_ ;_ * \-#,##0.00_ ;_ * &quot;-&quot;??_ ;_ @_ "/>
    <numFmt numFmtId="199" formatCode="_ * #,##0_ ;_ * \-#,##0_ ;_ * &quot;-&quot;??_ ;_ @_ "/>
    <numFmt numFmtId="200" formatCode="0.00%&quot;※&quot;"/>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中宋"/>
      <family val="3"/>
      <charset val="134"/>
    </font>
    <font>
      <sz val="11"/>
      <name val="华文中宋"/>
      <family val="3"/>
      <charset val="134"/>
    </font>
    <font>
      <sz val="9"/>
      <color theme="1"/>
      <name val="华文中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55" fillId="5" borderId="0" xfId="0" applyFont="1" applyFill="1" applyAlignment="1">
      <alignment vertical="center"/>
    </xf>
    <xf numFmtId="0" fontId="255" fillId="5" borderId="0" xfId="0" applyFont="1" applyFill="1" applyAlignment="1">
      <alignment vertical="center" wrapText="1"/>
    </xf>
    <xf numFmtId="197" fontId="255" fillId="5" borderId="0" xfId="0" applyNumberFormat="1" applyFont="1" applyFill="1" applyAlignment="1">
      <alignment vertical="center" wrapText="1"/>
    </xf>
    <xf numFmtId="43" fontId="255" fillId="5" borderId="0" xfId="13" applyFont="1" applyFill="1" applyAlignment="1">
      <alignment vertical="center" wrapText="1"/>
    </xf>
    <xf numFmtId="199" fontId="255" fillId="5" borderId="0" xfId="13" applyNumberFormat="1" applyFont="1" applyFill="1" applyAlignment="1">
      <alignment vertical="center" wrapText="1"/>
    </xf>
    <xf numFmtId="198" fontId="255" fillId="5" borderId="0" xfId="13" applyNumberFormat="1" applyFont="1" applyFill="1" applyAlignment="1">
      <alignment vertical="center" wrapText="1"/>
    </xf>
    <xf numFmtId="200" fontId="255" fillId="5" borderId="0" xfId="14" applyNumberFormat="1" applyFont="1" applyFill="1" applyAlignment="1">
      <alignment horizontal="left" vertical="center" wrapText="1"/>
    </xf>
    <xf numFmtId="0" fontId="256" fillId="5" borderId="0" xfId="0" applyFont="1" applyFill="1" applyAlignment="1">
      <alignment vertical="center" wrapText="1"/>
    </xf>
    <xf numFmtId="0" fontId="255" fillId="5" borderId="0" xfId="0" applyFont="1" applyFill="1" applyAlignment="1"/>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17" borderId="0" xfId="0" applyFont="1" applyFill="1" applyAlignment="1">
      <alignment horizontal="center" vertical="center"/>
    </xf>
    <xf numFmtId="197" fontId="255" fillId="17" borderId="0" xfId="0" applyNumberFormat="1" applyFont="1" applyFill="1" applyAlignment="1">
      <alignment horizontal="center" vertical="center"/>
    </xf>
    <xf numFmtId="0" fontId="255" fillId="17" borderId="0" xfId="0" applyFont="1" applyFill="1" applyAlignment="1">
      <alignment horizontal="center" vertical="center" wrapText="1"/>
    </xf>
    <xf numFmtId="0" fontId="255" fillId="0" borderId="0" xfId="0" applyFont="1" applyAlignment="1">
      <alignment horizontal="center" vertical="center"/>
    </xf>
    <xf numFmtId="0" fontId="47" fillId="5" borderId="23" xfId="0" applyFont="1" applyFill="1" applyBorder="1" applyAlignment="1" applyProtection="1">
      <alignment vertical="center"/>
      <protection locked="0"/>
    </xf>
    <xf numFmtId="0" fontId="50" fillId="5" borderId="23" xfId="0" applyFont="1" applyFill="1" applyBorder="1" applyAlignment="1" applyProtection="1">
      <alignment vertical="center"/>
      <protection locked="0"/>
    </xf>
    <xf numFmtId="10" fontId="0" fillId="0" borderId="0" xfId="0" applyNumberFormat="1">
      <alignment vertical="center"/>
    </xf>
    <xf numFmtId="10" fontId="99" fillId="0" borderId="0" xfId="0" applyNumberFormat="1" applyFont="1">
      <alignment vertical="center"/>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148</xdr:colOff>
      <xdr:row>1</xdr:row>
      <xdr:rowOff>0</xdr:rowOff>
    </xdr:from>
    <xdr:to>
      <xdr:col>3</xdr:col>
      <xdr:colOff>0</xdr:colOff>
      <xdr:row>2</xdr:row>
      <xdr:rowOff>0</xdr:rowOff>
    </xdr:to>
    <xdr:pic>
      <xdr:nvPicPr>
        <xdr:cNvPr id="2" name="图片 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981348" y="6124575"/>
          <a:ext cx="1180952" cy="962025"/>
        </a:xfrm>
        <a:prstGeom prst="rect">
          <a:avLst/>
        </a:prstGeom>
      </xdr:spPr>
    </xdr:pic>
    <xdr:clientData/>
  </xdr:twoCellAnchor>
  <xdr:twoCellAnchor editAs="oneCell">
    <xdr:from>
      <xdr:col>2</xdr:col>
      <xdr:colOff>1</xdr:colOff>
      <xdr:row>3</xdr:row>
      <xdr:rowOff>0</xdr:rowOff>
    </xdr:from>
    <xdr:to>
      <xdr:col>3</xdr:col>
      <xdr:colOff>0</xdr:colOff>
      <xdr:row>4</xdr:row>
      <xdr:rowOff>0</xdr:rowOff>
    </xdr:to>
    <xdr:pic>
      <xdr:nvPicPr>
        <xdr:cNvPr id="3" name="图片 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981201" y="16706850"/>
          <a:ext cx="1181099" cy="962025"/>
        </a:xfrm>
        <a:prstGeom prst="rect">
          <a:avLst/>
        </a:prstGeom>
      </xdr:spPr>
    </xdr:pic>
    <xdr:clientData/>
  </xdr:twoCellAnchor>
  <xdr:twoCellAnchor editAs="oneCell">
    <xdr:from>
      <xdr:col>2</xdr:col>
      <xdr:colOff>1</xdr:colOff>
      <xdr:row>2</xdr:row>
      <xdr:rowOff>0</xdr:rowOff>
    </xdr:from>
    <xdr:to>
      <xdr:col>3</xdr:col>
      <xdr:colOff>1</xdr:colOff>
      <xdr:row>3</xdr:row>
      <xdr:rowOff>0</xdr:rowOff>
    </xdr:to>
    <xdr:pic>
      <xdr:nvPicPr>
        <xdr:cNvPr id="4" name="图片 3">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3"/>
        <a:stretch>
          <a:fillRect/>
        </a:stretch>
      </xdr:blipFill>
      <xdr:spPr>
        <a:xfrm>
          <a:off x="1981201" y="15744825"/>
          <a:ext cx="1181100" cy="962025"/>
        </a:xfrm>
        <a:prstGeom prst="rect">
          <a:avLst/>
        </a:prstGeom>
      </xdr:spPr>
    </xdr:pic>
    <xdr:clientData/>
  </xdr:twoCellAnchor>
  <xdr:twoCellAnchor editAs="oneCell">
    <xdr:from>
      <xdr:col>1</xdr:col>
      <xdr:colOff>1546411</xdr:colOff>
      <xdr:row>4</xdr:row>
      <xdr:rowOff>0</xdr:rowOff>
    </xdr:from>
    <xdr:to>
      <xdr:col>3</xdr:col>
      <xdr:colOff>0</xdr:colOff>
      <xdr:row>5</xdr:row>
      <xdr:rowOff>0</xdr:rowOff>
    </xdr:to>
    <xdr:pic>
      <xdr:nvPicPr>
        <xdr:cNvPr id="5" name="图片 4">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4"/>
        <a:stretch>
          <a:fillRect/>
        </a:stretch>
      </xdr:blipFill>
      <xdr:spPr>
        <a:xfrm>
          <a:off x="1984561" y="28251150"/>
          <a:ext cx="1177739" cy="962025"/>
        </a:xfrm>
        <a:prstGeom prst="rect">
          <a:avLst/>
        </a:prstGeom>
      </xdr:spPr>
    </xdr:pic>
    <xdr:clientData/>
  </xdr:twoCellAnchor>
  <xdr:twoCellAnchor editAs="oneCell">
    <xdr:from>
      <xdr:col>2</xdr:col>
      <xdr:colOff>0</xdr:colOff>
      <xdr:row>6</xdr:row>
      <xdr:rowOff>0</xdr:rowOff>
    </xdr:from>
    <xdr:to>
      <xdr:col>12</xdr:col>
      <xdr:colOff>618191</xdr:colOff>
      <xdr:row>41</xdr:row>
      <xdr:rowOff>8774</xdr:rowOff>
    </xdr:to>
    <xdr:pic>
      <xdr:nvPicPr>
        <xdr:cNvPr id="7" name="图片 6"/>
        <xdr:cNvPicPr>
          <a:picLocks noChangeAspect="1"/>
        </xdr:cNvPicPr>
      </xdr:nvPicPr>
      <xdr:blipFill>
        <a:blip xmlns:r="http://schemas.openxmlformats.org/officeDocument/2006/relationships" r:embed="rId5"/>
        <a:stretch>
          <a:fillRect/>
        </a:stretch>
      </xdr:blipFill>
      <xdr:spPr>
        <a:xfrm>
          <a:off x="1371600" y="4191000"/>
          <a:ext cx="7476191"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142876</xdr:rowOff>
    </xdr:from>
    <xdr:to>
      <xdr:col>11</xdr:col>
      <xdr:colOff>383459</xdr:colOff>
      <xdr:row>11</xdr:row>
      <xdr:rowOff>161926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42876"/>
          <a:ext cx="7927258" cy="1905000"/>
        </a:xfrm>
        <a:prstGeom prst="rect">
          <a:avLst/>
        </a:prstGeom>
      </xdr:spPr>
    </xdr:pic>
    <xdr:clientData/>
  </xdr:twoCellAnchor>
  <xdr:twoCellAnchor editAs="oneCell">
    <xdr:from>
      <xdr:col>0</xdr:col>
      <xdr:colOff>76200</xdr:colOff>
      <xdr:row>12</xdr:row>
      <xdr:rowOff>57150</xdr:rowOff>
    </xdr:from>
    <xdr:to>
      <xdr:col>11</xdr:col>
      <xdr:colOff>323850</xdr:colOff>
      <xdr:row>21</xdr:row>
      <xdr:rowOff>4411</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114550"/>
          <a:ext cx="7791450" cy="1490311"/>
        </a:xfrm>
        <a:prstGeom prst="rect">
          <a:avLst/>
        </a:prstGeom>
      </xdr:spPr>
    </xdr:pic>
    <xdr:clientData/>
  </xdr:twoCellAnchor>
  <xdr:twoCellAnchor editAs="oneCell">
    <xdr:from>
      <xdr:col>0</xdr:col>
      <xdr:colOff>1</xdr:colOff>
      <xdr:row>21</xdr:row>
      <xdr:rowOff>57150</xdr:rowOff>
    </xdr:from>
    <xdr:to>
      <xdr:col>11</xdr:col>
      <xdr:colOff>190501</xdr:colOff>
      <xdr:row>37</xdr:row>
      <xdr:rowOff>51118</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657600"/>
          <a:ext cx="7734300" cy="2737168"/>
        </a:xfrm>
        <a:prstGeom prst="rect">
          <a:avLst/>
        </a:prstGeom>
      </xdr:spPr>
    </xdr:pic>
    <xdr:clientData/>
  </xdr:twoCellAnchor>
  <xdr:twoCellAnchor editAs="oneCell">
    <xdr:from>
      <xdr:col>0</xdr:col>
      <xdr:colOff>9525</xdr:colOff>
      <xdr:row>37</xdr:row>
      <xdr:rowOff>152400</xdr:rowOff>
    </xdr:from>
    <xdr:to>
      <xdr:col>11</xdr:col>
      <xdr:colOff>95250</xdr:colOff>
      <xdr:row>45</xdr:row>
      <xdr:rowOff>154633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96050"/>
          <a:ext cx="7629525" cy="1373833"/>
        </a:xfrm>
        <a:prstGeom prst="rect">
          <a:avLst/>
        </a:prstGeom>
      </xdr:spPr>
    </xdr:pic>
    <xdr:clientData/>
  </xdr:twoCellAnchor>
  <xdr:twoCellAnchor editAs="oneCell">
    <xdr:from>
      <xdr:col>0</xdr:col>
      <xdr:colOff>47625</xdr:colOff>
      <xdr:row>46</xdr:row>
      <xdr:rowOff>0</xdr:rowOff>
    </xdr:from>
    <xdr:to>
      <xdr:col>11</xdr:col>
      <xdr:colOff>57150</xdr:colOff>
      <xdr:row>54</xdr:row>
      <xdr:rowOff>18687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7886700"/>
          <a:ext cx="7553325" cy="1390287"/>
        </a:xfrm>
        <a:prstGeom prst="rect">
          <a:avLst/>
        </a:prstGeom>
      </xdr:spPr>
    </xdr:pic>
    <xdr:clientData/>
  </xdr:twoCellAnchor>
  <xdr:twoCellAnchor editAs="oneCell">
    <xdr:from>
      <xdr:col>0</xdr:col>
      <xdr:colOff>47625</xdr:colOff>
      <xdr:row>54</xdr:row>
      <xdr:rowOff>28575</xdr:rowOff>
    </xdr:from>
    <xdr:to>
      <xdr:col>10</xdr:col>
      <xdr:colOff>400050</xdr:colOff>
      <xdr:row>87</xdr:row>
      <xdr:rowOff>4620</xdr:rowOff>
    </xdr:to>
    <xdr:pic>
      <xdr:nvPicPr>
        <xdr:cNvPr id="8" name="图片 7"/>
        <xdr:cNvPicPr>
          <a:picLocks noChangeAspect="1"/>
        </xdr:cNvPicPr>
      </xdr:nvPicPr>
      <xdr:blipFill>
        <a:blip xmlns:r="http://schemas.openxmlformats.org/officeDocument/2006/relationships" r:embed="rId6"/>
        <a:stretch>
          <a:fillRect/>
        </a:stretch>
      </xdr:blipFill>
      <xdr:spPr>
        <a:xfrm>
          <a:off x="47625" y="9286875"/>
          <a:ext cx="7210425" cy="5633895"/>
        </a:xfrm>
        <a:prstGeom prst="rect">
          <a:avLst/>
        </a:prstGeom>
      </xdr:spPr>
    </xdr:pic>
    <xdr:clientData/>
  </xdr:twoCellAnchor>
  <xdr:twoCellAnchor editAs="oneCell">
    <xdr:from>
      <xdr:col>0</xdr:col>
      <xdr:colOff>295275</xdr:colOff>
      <xdr:row>87</xdr:row>
      <xdr:rowOff>38101</xdr:rowOff>
    </xdr:from>
    <xdr:to>
      <xdr:col>10</xdr:col>
      <xdr:colOff>171450</xdr:colOff>
      <xdr:row>117</xdr:row>
      <xdr:rowOff>52065</xdr:rowOff>
    </xdr:to>
    <xdr:pic>
      <xdr:nvPicPr>
        <xdr:cNvPr id="9" name="图片 8"/>
        <xdr:cNvPicPr>
          <a:picLocks noChangeAspect="1"/>
        </xdr:cNvPicPr>
      </xdr:nvPicPr>
      <xdr:blipFill>
        <a:blip xmlns:r="http://schemas.openxmlformats.org/officeDocument/2006/relationships" r:embed="rId7"/>
        <a:stretch>
          <a:fillRect/>
        </a:stretch>
      </xdr:blipFill>
      <xdr:spPr>
        <a:xfrm>
          <a:off x="295275" y="14954251"/>
          <a:ext cx="6734175" cy="5157464"/>
        </a:xfrm>
        <a:prstGeom prst="rect">
          <a:avLst/>
        </a:prstGeom>
      </xdr:spPr>
    </xdr:pic>
    <xdr:clientData/>
  </xdr:twoCellAnchor>
  <xdr:twoCellAnchor editAs="oneCell">
    <xdr:from>
      <xdr:col>0</xdr:col>
      <xdr:colOff>323850</xdr:colOff>
      <xdr:row>118</xdr:row>
      <xdr:rowOff>9525</xdr:rowOff>
    </xdr:from>
    <xdr:to>
      <xdr:col>13</xdr:col>
      <xdr:colOff>189403</xdr:colOff>
      <xdr:row>138</xdr:row>
      <xdr:rowOff>18620</xdr:rowOff>
    </xdr:to>
    <xdr:pic>
      <xdr:nvPicPr>
        <xdr:cNvPr id="10" name="图片 9"/>
        <xdr:cNvPicPr>
          <a:picLocks noChangeAspect="1"/>
        </xdr:cNvPicPr>
      </xdr:nvPicPr>
      <xdr:blipFill>
        <a:blip xmlns:r="http://schemas.openxmlformats.org/officeDocument/2006/relationships" r:embed="rId8"/>
        <a:stretch>
          <a:fillRect/>
        </a:stretch>
      </xdr:blipFill>
      <xdr:spPr>
        <a:xfrm>
          <a:off x="323850" y="20240625"/>
          <a:ext cx="8780953" cy="3438095"/>
        </a:xfrm>
        <a:prstGeom prst="rect">
          <a:avLst/>
        </a:prstGeom>
      </xdr:spPr>
    </xdr:pic>
    <xdr:clientData/>
  </xdr:twoCellAnchor>
  <xdr:twoCellAnchor editAs="oneCell">
    <xdr:from>
      <xdr:col>1</xdr:col>
      <xdr:colOff>0</xdr:colOff>
      <xdr:row>138</xdr:row>
      <xdr:rowOff>0</xdr:rowOff>
    </xdr:from>
    <xdr:to>
      <xdr:col>13</xdr:col>
      <xdr:colOff>389448</xdr:colOff>
      <xdr:row>177</xdr:row>
      <xdr:rowOff>56308</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23660100"/>
          <a:ext cx="8619048" cy="6742858"/>
        </a:xfrm>
        <a:prstGeom prst="rect">
          <a:avLst/>
        </a:prstGeom>
      </xdr:spPr>
    </xdr:pic>
    <xdr:clientData/>
  </xdr:twoCellAnchor>
  <xdr:twoCellAnchor editAs="oneCell">
    <xdr:from>
      <xdr:col>1</xdr:col>
      <xdr:colOff>0</xdr:colOff>
      <xdr:row>179</xdr:row>
      <xdr:rowOff>0</xdr:rowOff>
    </xdr:from>
    <xdr:to>
      <xdr:col>14</xdr:col>
      <xdr:colOff>408410</xdr:colOff>
      <xdr:row>200</xdr:row>
      <xdr:rowOff>104312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30689550"/>
          <a:ext cx="9323810" cy="3704762"/>
        </a:xfrm>
        <a:prstGeom prst="rect">
          <a:avLst/>
        </a:prstGeom>
      </xdr:spPr>
    </xdr:pic>
    <xdr:clientData/>
  </xdr:twoCellAnchor>
  <xdr:twoCellAnchor editAs="oneCell">
    <xdr:from>
      <xdr:col>1</xdr:col>
      <xdr:colOff>38100</xdr:colOff>
      <xdr:row>200</xdr:row>
      <xdr:rowOff>57150</xdr:rowOff>
    </xdr:from>
    <xdr:to>
      <xdr:col>14</xdr:col>
      <xdr:colOff>208415</xdr:colOff>
      <xdr:row>220</xdr:row>
      <xdr:rowOff>104341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23900" y="34347150"/>
          <a:ext cx="9085715" cy="34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15</xdr:col>
      <xdr:colOff>446188</xdr:colOff>
      <xdr:row>13</xdr:row>
      <xdr:rowOff>31369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171450"/>
          <a:ext cx="10656988" cy="2088769"/>
        </a:xfrm>
        <a:prstGeom prst="rect">
          <a:avLst/>
        </a:prstGeom>
      </xdr:spPr>
    </xdr:pic>
    <xdr:clientData/>
  </xdr:twoCellAnchor>
  <xdr:twoCellAnchor editAs="oneCell">
    <xdr:from>
      <xdr:col>0</xdr:col>
      <xdr:colOff>0</xdr:colOff>
      <xdr:row>14</xdr:row>
      <xdr:rowOff>0</xdr:rowOff>
    </xdr:from>
    <xdr:to>
      <xdr:col>17</xdr:col>
      <xdr:colOff>255687</xdr:colOff>
      <xdr:row>24</xdr:row>
      <xdr:rowOff>114072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1914287" cy="1828572"/>
        </a:xfrm>
        <a:prstGeom prst="rect">
          <a:avLst/>
        </a:prstGeom>
      </xdr:spPr>
    </xdr:pic>
    <xdr:clientData/>
  </xdr:twoCellAnchor>
  <xdr:twoCellAnchor editAs="oneCell">
    <xdr:from>
      <xdr:col>0</xdr:col>
      <xdr:colOff>0</xdr:colOff>
      <xdr:row>25</xdr:row>
      <xdr:rowOff>57150</xdr:rowOff>
    </xdr:from>
    <xdr:to>
      <xdr:col>17</xdr:col>
      <xdr:colOff>103306</xdr:colOff>
      <xdr:row>37</xdr:row>
      <xdr:rowOff>123560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43400"/>
          <a:ext cx="11761906" cy="2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北京市房地产抵押价值预评估</v>
      </c>
    </row>
    <row r="3" spans="1:2" s="1593" customFormat="1">
      <c r="A3" s="1591" t="s">
        <v>1221</v>
      </c>
      <c r="B3" s="1592" t="str">
        <f>'预评函-封皮'!B40</f>
        <v>兴业银行股份有限公司安华支行</v>
      </c>
    </row>
    <row r="4" spans="1:2" s="1593" customFormat="1">
      <c r="A4" s="1591" t="s">
        <v>1222</v>
      </c>
      <c r="B4" s="1592" t="str">
        <f ca="1">'预评函-封皮'!B46</f>
        <v>吴薇（注册号：1419970001)、崔锴（注册号：1120100036)</v>
      </c>
    </row>
    <row r="5" spans="1:2" s="1587" customFormat="1" ht="15" thickBot="1">
      <c r="A5" s="1594" t="s">
        <v>1223</v>
      </c>
      <c r="B5" s="1595" t="str">
        <f>'预评函-封皮'!B49</f>
        <v>康正预评字2019-1-0009-P01DYGJ1号</v>
      </c>
    </row>
    <row r="6" spans="1:2" s="1590" customFormat="1" ht="15" thickTop="1">
      <c r="A6" s="1588" t="s">
        <v>1224</v>
      </c>
      <c r="B6" s="1589" t="str">
        <f>'预评函-1'!A4</f>
        <v>受贵公司委托，我公司对北京市房地产抵押价值进行了预评估。</v>
      </c>
    </row>
    <row r="7" spans="1:2" s="1593" customFormat="1">
      <c r="A7" s="1591" t="s">
        <v>1264</v>
      </c>
      <c r="B7" s="1592" t="str">
        <f>'预评函-1'!A7</f>
        <v>估价对象为北京市房地产，为所有。根据《国有土地使用证》[]，估价对象（分摊）出让国有建设用地使用权面积为14707平方米，建筑面积为166180.56平方米。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为开发建设的综合项目（商业、办公），该项目尚在开发建设中。根据《国有土地使用证》[]，估价对象（分摊）出让国有建设用地使用权面积为14707平方米，规划建筑面积为166180.56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2019年1月3日</v>
      </c>
    </row>
    <row r="13" spans="1:2" s="1593" customFormat="1">
      <c r="A13" s="1591" t="s">
        <v>1227</v>
      </c>
      <c r="B13" s="1592" t="str">
        <f>'预评函-1'!A18</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855718</v>
      </c>
    </row>
    <row r="21" spans="1:2" s="1593" customFormat="1">
      <c r="A21" s="1591" t="s">
        <v>1235</v>
      </c>
      <c r="B21" s="1592">
        <f ca="1">'预评函-2'!D7</f>
        <v>51493</v>
      </c>
    </row>
    <row r="22" spans="1:2" s="1593" customFormat="1">
      <c r="A22" s="1591" t="s">
        <v>1236</v>
      </c>
      <c r="B22" s="1592" t="str">
        <f ca="1">'预评函-2'!D6</f>
        <v>捌拾伍亿伍仟柒佰壹拾捌万元整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855718</v>
      </c>
    </row>
    <row r="31" spans="1:2" s="1593" customFormat="1">
      <c r="A31" s="1591" t="s">
        <v>1274</v>
      </c>
      <c r="B31" s="1592">
        <f ca="1">'预评函-2'!D15</f>
        <v>51493</v>
      </c>
    </row>
    <row r="32" spans="1:2" s="1593" customFormat="1">
      <c r="A32" s="1591" t="s">
        <v>1241</v>
      </c>
      <c r="B32" s="1592" t="str">
        <f ca="1">'预评函-2'!D14</f>
        <v>捌拾伍亿伍仟柒佰壹拾捌万元整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166180.56000000003</v>
      </c>
    </row>
    <row r="44" spans="1:2" s="1593" customFormat="1">
      <c r="A44" s="1591" t="s">
        <v>1273</v>
      </c>
      <c r="B44" s="1592" t="str">
        <f>'预评函-3'!C2</f>
        <v>(分摊)土地面积</v>
      </c>
    </row>
    <row r="45" spans="1:2" s="1593" customFormat="1">
      <c r="A45" s="1591" t="s">
        <v>1245</v>
      </c>
      <c r="B45" s="1592">
        <f>'预评函-3'!C4</f>
        <v>14707</v>
      </c>
    </row>
    <row r="46" spans="1:2" s="1593" customFormat="1">
      <c r="A46" s="1591" t="s">
        <v>1271</v>
      </c>
      <c r="B46" s="1592" t="str">
        <f>'预评函-3'!D2</f>
        <v>出让国有建设用地使用权价值</v>
      </c>
    </row>
    <row r="47" spans="1:2" s="1593" customFormat="1">
      <c r="A47" s="1591" t="s">
        <v>1246</v>
      </c>
      <c r="B47" s="1592">
        <f ca="1">'预评函-3'!D4</f>
        <v>641546</v>
      </c>
    </row>
    <row r="48" spans="1:2" s="1593" customFormat="1">
      <c r="A48" s="1591" t="s">
        <v>1247</v>
      </c>
      <c r="B48" s="1592">
        <f ca="1">'预评函-3'!E4</f>
        <v>38605</v>
      </c>
    </row>
    <row r="49" spans="1:2" s="1593" customFormat="1">
      <c r="A49" s="1591" t="s">
        <v>1248</v>
      </c>
      <c r="B49" s="1592" t="str">
        <f ca="1">'预评函-3'!D5</f>
        <v>陆拾肆亿壹仟伍佰肆拾陆万元整</v>
      </c>
    </row>
    <row r="50" spans="1:2" s="1593" customFormat="1">
      <c r="A50" s="1591" t="s">
        <v>1272</v>
      </c>
      <c r="B50" s="1592" t="str">
        <f>'预评函-3'!F2</f>
        <v>建筑物价值</v>
      </c>
    </row>
    <row r="51" spans="1:2" s="1593" customFormat="1">
      <c r="A51" s="1591" t="s">
        <v>1249</v>
      </c>
      <c r="B51" s="1592">
        <f ca="1">'预评函-3'!F4</f>
        <v>214172</v>
      </c>
    </row>
    <row r="52" spans="1:2" s="1593" customFormat="1">
      <c r="A52" s="1591" t="s">
        <v>1250</v>
      </c>
      <c r="B52" s="1592">
        <f ca="1">'预评函-3'!G4</f>
        <v>12888</v>
      </c>
    </row>
    <row r="53" spans="1:2" s="1593" customFormat="1">
      <c r="A53" s="1591" t="s">
        <v>1278</v>
      </c>
      <c r="B53" s="1592" t="str">
        <f ca="1">'预评函-3'!F5</f>
        <v>贰拾壹亿肆仟壹佰柒拾贰万元整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3093</v>
      </c>
      <c r="C17" s="2015"/>
    </row>
    <row r="18" spans="1:3">
      <c r="A18" s="2014" t="s">
        <v>1767</v>
      </c>
      <c r="B18" s="2014" t="s">
        <v>3095</v>
      </c>
      <c r="C18" s="2015"/>
    </row>
    <row r="19" spans="1:3">
      <c r="A19" s="2014" t="s">
        <v>1768</v>
      </c>
      <c r="B19" s="2014" t="s">
        <v>3097</v>
      </c>
      <c r="C19" s="2015"/>
    </row>
    <row r="20" spans="1:3">
      <c r="A20" s="2014" t="s">
        <v>1769</v>
      </c>
      <c r="B20" s="2014" t="s">
        <v>3099</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为估价委托人在向兴业银行股份有限公司安华支行办理贷款手续过程中，确定房地产抵押贷款额度提供参考依据而评估房地产抵押价值。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2" t="s">
        <v>864</v>
      </c>
      <c r="C54" s="2019" t="s">
        <v>1281</v>
      </c>
    </row>
    <row r="55" spans="1:4">
      <c r="A55" s="3032"/>
      <c r="B55" s="2022" t="s">
        <v>865</v>
      </c>
      <c r="C55" s="2019" t="s">
        <v>1282</v>
      </c>
    </row>
    <row r="56" spans="1:4">
      <c r="A56" s="3032"/>
      <c r="B56" s="2022" t="s">
        <v>866</v>
      </c>
      <c r="C56" s="2019" t="s">
        <v>1286</v>
      </c>
    </row>
    <row r="57" spans="1:4">
      <c r="A57" s="303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41" t="str">
        <f>IF(B10="北京市","北京市",C10)&amp;F10&amp;IF(结果表!G1="在建","出让国有建设用地使用权及在建建筑物",IF(结果表!G1="土地","出让国有建设用地使用权",))&amp;B9&amp;"预评估"</f>
        <v>北京市房地产抵押价值预评估</v>
      </c>
      <c r="C1" s="3042"/>
      <c r="D1" s="3042"/>
      <c r="E1" s="3042"/>
      <c r="F1" s="3042"/>
      <c r="G1" s="3042"/>
      <c r="H1" s="3042"/>
      <c r="I1" s="304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40" t="s">
        <v>3225</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c r="C3" s="2037" t="s">
        <v>1779</v>
      </c>
      <c r="D3" s="2036">
        <v>43468</v>
      </c>
      <c r="E3" s="2026"/>
      <c r="F3" s="2026"/>
      <c r="G3" s="2026"/>
      <c r="H3" s="2026"/>
      <c r="I3" s="2026"/>
      <c r="J3" s="2026"/>
      <c r="K3" s="2027"/>
      <c r="L3" s="2028"/>
      <c r="M3" s="2028"/>
      <c r="N3" s="2029"/>
      <c r="O3" s="2030"/>
      <c r="P3" s="2029"/>
      <c r="Q3" s="2029"/>
      <c r="R3" s="2029"/>
      <c r="S3" s="2031"/>
    </row>
    <row r="4" spans="1:19" ht="18" customHeight="1" thickBot="1">
      <c r="A4" s="2038" t="s">
        <v>1780</v>
      </c>
      <c r="B4" s="2039" t="s">
        <v>3222</v>
      </c>
      <c r="C4" s="1038">
        <f ca="1">SUMIF(注册房地产估价师,B4,估价师及机构信息!B3:B24)</f>
        <v>1419970001</v>
      </c>
      <c r="D4" s="2039" t="s">
        <v>3223</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吴薇（注册号：1419970001)、崔锴（注册号：1120100036)</v>
      </c>
      <c r="L4" s="2028"/>
      <c r="M4" s="2028"/>
      <c r="N4" s="2029"/>
      <c r="O4" s="2030"/>
      <c r="P4" s="2029"/>
      <c r="Q4" s="2029"/>
      <c r="R4" s="2029"/>
      <c r="S4" s="2031"/>
    </row>
    <row r="5" spans="1:19" ht="18" customHeight="1" thickTop="1">
      <c r="A5" s="2044" t="s">
        <v>1781</v>
      </c>
      <c r="B5" s="2988" t="s">
        <v>3224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048" t="str">
        <f>B5</f>
        <v>兴业银行股份有限公司安华支行</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52"/>
      <c r="C7" s="2049"/>
      <c r="D7" s="2050"/>
      <c r="E7" s="2034"/>
      <c r="F7" s="2042"/>
      <c r="G7" s="2042"/>
      <c r="H7" s="2042"/>
      <c r="I7" s="2042"/>
      <c r="J7" s="2042"/>
      <c r="K7" s="2053"/>
      <c r="L7" s="2028"/>
      <c r="M7" s="2028"/>
      <c r="N7" s="2029"/>
      <c r="O7" s="2030"/>
      <c r="P7" s="2029"/>
      <c r="Q7" s="2029"/>
      <c r="R7" s="2029"/>
    </row>
    <row r="8" spans="1:19" ht="18" customHeight="1">
      <c r="A8" s="2047" t="s">
        <v>1784</v>
      </c>
      <c r="B8" s="2054" t="s">
        <v>3048</v>
      </c>
      <c r="C8" s="2055"/>
      <c r="D8" s="3044" t="s">
        <v>1785</v>
      </c>
      <c r="E8" s="2056" t="s">
        <v>3049</v>
      </c>
      <c r="F8" s="2057"/>
      <c r="G8" s="2026"/>
      <c r="H8" s="2026"/>
      <c r="I8" s="2026"/>
      <c r="J8" s="2042"/>
      <c r="K8" s="2043"/>
      <c r="L8" s="2028"/>
      <c r="M8" s="2028"/>
      <c r="N8" s="2029"/>
      <c r="O8" s="2030"/>
      <c r="P8" s="2029"/>
      <c r="Q8" s="2029"/>
      <c r="R8" s="2029"/>
    </row>
    <row r="9" spans="1:19" ht="18" customHeight="1" thickBot="1">
      <c r="A9" s="2040" t="s">
        <v>1786</v>
      </c>
      <c r="B9" s="2058" t="s">
        <v>3049</v>
      </c>
      <c r="C9" s="2059"/>
      <c r="D9" s="3045"/>
      <c r="E9" s="2058" t="s">
        <v>70</v>
      </c>
      <c r="F9" s="2060"/>
      <c r="G9" s="2061"/>
      <c r="H9" s="2061"/>
      <c r="I9" s="2061"/>
      <c r="J9" s="2042"/>
      <c r="K9" s="2053"/>
      <c r="L9" s="2028"/>
      <c r="M9" s="2028"/>
      <c r="N9" s="2029"/>
      <c r="O9" s="2030"/>
      <c r="P9" s="2029"/>
      <c r="Q9" s="2029"/>
      <c r="R9" s="2029"/>
    </row>
    <row r="10" spans="1:19" ht="18" customHeight="1" thickTop="1">
      <c r="A10" s="2062" t="s">
        <v>1787</v>
      </c>
      <c r="B10" s="2063" t="s">
        <v>3050</v>
      </c>
      <c r="C10" s="2064"/>
      <c r="D10" s="2046"/>
      <c r="E10" s="2065" t="s">
        <v>1788</v>
      </c>
      <c r="F10" s="2066"/>
      <c r="G10" s="2067"/>
      <c r="H10" s="2068"/>
      <c r="I10" s="2046"/>
      <c r="J10" s="2042"/>
      <c r="K10" s="2053"/>
      <c r="L10" s="2028"/>
      <c r="M10" s="2028"/>
      <c r="N10" s="2029"/>
      <c r="O10" s="2030"/>
      <c r="P10" s="2029"/>
      <c r="Q10" s="2029"/>
      <c r="R10" s="2029"/>
    </row>
    <row r="11" spans="1:19" ht="18" customHeight="1">
      <c r="A11" s="2069" t="s">
        <v>1789</v>
      </c>
      <c r="B11" s="2070"/>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3051</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v>55285</v>
      </c>
      <c r="G13" s="2079">
        <v>55285</v>
      </c>
      <c r="H13" s="2079"/>
      <c r="I13" s="1048"/>
      <c r="J13" s="2042"/>
      <c r="K13" s="2053"/>
      <c r="L13" s="2028"/>
      <c r="M13" s="2028"/>
      <c r="N13" s="2029"/>
      <c r="O13" s="2030"/>
      <c r="P13" s="2029"/>
      <c r="Q13" s="2029"/>
      <c r="R13" s="2029"/>
    </row>
    <row r="14" spans="1:19" ht="18" customHeight="1">
      <c r="A14" s="2076"/>
      <c r="B14" s="2077"/>
      <c r="C14" s="2078" t="s">
        <v>1799</v>
      </c>
      <c r="D14" s="1051"/>
      <c r="E14" s="1051"/>
      <c r="F14" s="1051">
        <v>50</v>
      </c>
      <c r="G14" s="1051">
        <v>50</v>
      </c>
      <c r="H14" s="1051"/>
      <c r="I14" s="1051"/>
      <c r="J14" s="2042"/>
      <c r="K14" s="2080"/>
      <c r="L14" s="2028"/>
      <c r="M14" s="2028"/>
      <c r="N14" s="2029"/>
      <c r="O14" s="2030"/>
      <c r="P14" s="2029"/>
      <c r="Q14" s="2029"/>
      <c r="R14" s="2029"/>
    </row>
    <row r="15" spans="1:19" ht="18" customHeight="1">
      <c r="A15" s="2062"/>
      <c r="B15" s="2081"/>
      <c r="C15" s="2078" t="s">
        <v>1800</v>
      </c>
      <c r="D15" s="1050" t="str">
        <f>IF(B12="出让",IF(D13="","",ROUNDDOWN(MIN((D13-$D$3)/365,D14),2)),D14)</f>
        <v/>
      </c>
      <c r="E15" s="1050" t="str">
        <f>IF(B12="出让",IF(E13="","",ROUNDDOWN(MIN((E13-$D$3)/365,E14),2)),E14)</f>
        <v/>
      </c>
      <c r="F15" s="1050">
        <f>IF(B12="出让",IF(F13="","",ROUNDDOWN(MIN((F13-$D$3)/365,F14),2)),F14)</f>
        <v>32.369999999999997</v>
      </c>
      <c r="G15" s="1050">
        <f>IF(B12="出让",IF(G13="","",ROUNDDOWN(MIN((G13-$D$3)/365,G14),2)),G14)</f>
        <v>32.369999999999997</v>
      </c>
      <c r="H15" s="1050" t="str">
        <f>IF(B12="出让",IF(H13="","",ROUNDDOWN(MIN((H13-$D$3)/365,H14),2)),H14)</f>
        <v/>
      </c>
      <c r="I15" s="1050" t="str">
        <f>IF(B12="出让",IF(I13="","",ROUNDDOWN(MIN((I13-$D$3)/365,I14),2)),I14)</f>
        <v/>
      </c>
      <c r="J15" s="2042"/>
      <c r="K15" s="2082"/>
      <c r="L15" s="2083"/>
      <c r="M15" s="2083"/>
      <c r="N15" s="2084"/>
      <c r="O15" s="2083"/>
      <c r="P15" s="2084"/>
      <c r="Q15" s="2029"/>
      <c r="R15" s="2029"/>
    </row>
    <row r="16" spans="1:19" ht="30.75" customHeight="1">
      <c r="A16" s="2065" t="s">
        <v>1801</v>
      </c>
      <c r="B16" s="3051"/>
      <c r="C16" s="3052"/>
      <c r="D16" s="3053"/>
      <c r="E16" s="2085" t="s">
        <v>1802</v>
      </c>
      <c r="F16" s="3054"/>
      <c r="G16" s="3055"/>
      <c r="H16" s="3055"/>
      <c r="I16" s="3056"/>
      <c r="J16" s="2029"/>
      <c r="K16" s="2082"/>
      <c r="L16" s="2083"/>
      <c r="M16" s="2083"/>
      <c r="N16" s="2084"/>
      <c r="O16" s="2083"/>
      <c r="P16" s="2084"/>
      <c r="Q16" s="2029"/>
      <c r="R16" s="2029"/>
    </row>
    <row r="17" spans="1:22" ht="18" customHeight="1">
      <c r="A17" s="2086" t="s">
        <v>1803</v>
      </c>
      <c r="B17" s="2035" t="s">
        <v>1804</v>
      </c>
      <c r="C17" s="1055">
        <f>'数据-汇总表'!E3</f>
        <v>166180.56000000003</v>
      </c>
      <c r="D17" s="2087" t="s">
        <v>1805</v>
      </c>
      <c r="E17" s="3057" t="s">
        <v>1806</v>
      </c>
      <c r="F17" s="3058"/>
      <c r="G17" s="3058"/>
      <c r="H17" s="3058"/>
      <c r="I17" s="3059"/>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5">
        <f>'数据-汇总表'!D3</f>
        <v>14707</v>
      </c>
      <c r="D18" s="2090" t="s">
        <v>1805</v>
      </c>
      <c r="E18" s="3060" t="s">
        <v>1809</v>
      </c>
      <c r="F18" s="3061"/>
      <c r="G18" s="3061"/>
      <c r="H18" s="3061"/>
      <c r="I18" s="3062"/>
      <c r="J18" s="2029"/>
      <c r="K18" s="2088"/>
      <c r="L18" s="2083"/>
      <c r="M18" s="2083"/>
      <c r="N18" s="2084"/>
      <c r="O18" s="2083"/>
      <c r="P18" s="2084"/>
      <c r="Q18" s="2029"/>
      <c r="R18" s="2029"/>
      <c r="S18" s="2029"/>
      <c r="T18" s="2029"/>
      <c r="U18" s="2029"/>
      <c r="V18" s="2029"/>
    </row>
    <row r="19" spans="1:22" ht="37.5" customHeight="1" thickTop="1" thickBot="1">
      <c r="A19" s="372" t="s">
        <v>1810</v>
      </c>
      <c r="B19" s="351" t="s">
        <v>1811</v>
      </c>
      <c r="C19" s="2091" t="s">
        <v>3060</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7" t="s">
        <v>1814</v>
      </c>
      <c r="C20" s="3048"/>
      <c r="D20" s="3049" t="s">
        <v>1815</v>
      </c>
      <c r="E20" s="3050"/>
      <c r="F20" s="2097" t="s">
        <v>1816</v>
      </c>
      <c r="G20" s="2042"/>
      <c r="H20" s="2042"/>
      <c r="I20" s="2042"/>
      <c r="J20" s="2042"/>
      <c r="K20" s="3046"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7"/>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7"/>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4" t="s">
        <v>1829</v>
      </c>
      <c r="B27" s="2062" t="s">
        <v>1830</v>
      </c>
      <c r="C27" s="2119" t="s">
        <v>3052</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4"/>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4"/>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5"/>
      <c r="B30" s="2035" t="s">
        <v>1833</v>
      </c>
      <c r="C30" s="3036"/>
      <c r="D30" s="3037"/>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8" t="s">
        <v>1834</v>
      </c>
      <c r="B31" s="2126" t="s">
        <v>3053</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39"/>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39"/>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3054</v>
      </c>
      <c r="C34" s="2133" t="s">
        <v>3055</v>
      </c>
      <c r="D34" s="2133" t="s">
        <v>3056</v>
      </c>
      <c r="E34" s="2133" t="s">
        <v>3057</v>
      </c>
      <c r="F34" s="2133" t="s">
        <v>3058</v>
      </c>
      <c r="G34" s="2133" t="s">
        <v>3059</v>
      </c>
      <c r="H34" s="2133" t="s">
        <v>70</v>
      </c>
      <c r="I34" s="2042"/>
      <c r="J34" s="2042"/>
      <c r="K34" s="1795">
        <f>COUNTIF(B34:H34,"——")</f>
        <v>1</v>
      </c>
      <c r="L34" s="2074" t="s">
        <v>1836</v>
      </c>
      <c r="M34" s="2074" t="s">
        <v>1837</v>
      </c>
      <c r="N34" s="2074" t="s">
        <v>1838</v>
      </c>
      <c r="O34" s="2074" t="s">
        <v>1839</v>
      </c>
      <c r="P34" s="2074" t="s">
        <v>1840</v>
      </c>
      <c r="Q34" s="2074" t="s">
        <v>1841</v>
      </c>
      <c r="R34" s="2074" t="s">
        <v>1842</v>
      </c>
      <c r="S34" s="3033" t="s">
        <v>1843</v>
      </c>
      <c r="T34" s="2134" t="str">
        <f>NUMBERSTRING(7-K34,1)&amp;"通"</f>
        <v>六通</v>
      </c>
      <c r="U34" s="2029"/>
      <c r="V34" s="2029"/>
    </row>
    <row r="35" spans="1:22" ht="18" customHeight="1">
      <c r="A35" s="2135"/>
      <c r="B35" s="3040" t="s">
        <v>1844</v>
      </c>
      <c r="C35" s="3040"/>
      <c r="D35" s="3040"/>
      <c r="E35" s="3040"/>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c r="C37" s="2140" t="s">
        <v>269</v>
      </c>
      <c r="D37" s="2140"/>
      <c r="E37" s="2140"/>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1850</v>
      </c>
      <c r="B38" s="2142"/>
      <c r="C38" s="2142" t="s">
        <v>138</v>
      </c>
      <c r="D38" s="2142"/>
      <c r="E38" s="2142"/>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5"/>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9.25" style="2159" customWidth="1"/>
    <col min="10"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1876</v>
      </c>
      <c r="AZ2" s="1271"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面积表!H6</f>
        <v>14707</v>
      </c>
      <c r="B3" s="14">
        <f>IF(C3="否",G5-AT5,G5)</f>
        <v>166180.56000000003</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3"/>
      <c r="C5" s="1803"/>
      <c r="D5" s="1806"/>
      <c r="E5" s="16" t="s">
        <v>1</v>
      </c>
      <c r="F5" s="16">
        <f>SUM(F13:F587)</f>
        <v>0</v>
      </c>
      <c r="G5" s="16">
        <f>SUM(G13:G587)</f>
        <v>166180.56000000003</v>
      </c>
      <c r="H5" s="16">
        <f t="shared" ref="H5:AT5" si="0">SUM(H13:H656)</f>
        <v>164631.43000000002</v>
      </c>
      <c r="I5" s="16">
        <f t="shared" si="0"/>
        <v>5325.9400000000005</v>
      </c>
      <c r="J5" s="16">
        <f t="shared" si="0"/>
        <v>0</v>
      </c>
      <c r="K5" s="16">
        <f t="shared" si="0"/>
        <v>95113.260000000009</v>
      </c>
      <c r="L5" s="16">
        <f t="shared" si="0"/>
        <v>0</v>
      </c>
      <c r="M5" s="16">
        <f t="shared" si="0"/>
        <v>32281.690000000002</v>
      </c>
      <c r="N5" s="16">
        <f t="shared" si="0"/>
        <v>0</v>
      </c>
      <c r="O5" s="16">
        <f t="shared" si="0"/>
        <v>31910.54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1549.13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1549.13</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166180.56000000003</v>
      </c>
      <c r="BA5" s="18">
        <f t="shared" si="1"/>
        <v>164631.43000000002</v>
      </c>
      <c r="BB5" s="18">
        <f t="shared" si="1"/>
        <v>5325.9400000000005</v>
      </c>
      <c r="BC5" s="18">
        <f t="shared" si="1"/>
        <v>95113.260000000009</v>
      </c>
      <c r="BD5" s="18">
        <f t="shared" si="1"/>
        <v>32281.690000000002</v>
      </c>
      <c r="BE5" s="18">
        <f t="shared" si="1"/>
        <v>31910.54</v>
      </c>
      <c r="BF5" s="18">
        <f t="shared" si="1"/>
        <v>0</v>
      </c>
      <c r="BG5" s="18">
        <f t="shared" si="1"/>
        <v>0</v>
      </c>
      <c r="BH5" s="18">
        <f t="shared" si="1"/>
        <v>0</v>
      </c>
      <c r="BI5" s="18">
        <f t="shared" si="1"/>
        <v>0</v>
      </c>
      <c r="BJ5" s="18">
        <f t="shared" si="1"/>
        <v>0</v>
      </c>
      <c r="BK5" s="18">
        <f t="shared" si="1"/>
        <v>0</v>
      </c>
      <c r="BL5" s="18">
        <f t="shared" si="1"/>
        <v>1549.13</v>
      </c>
      <c r="BM5" s="18">
        <f t="shared" si="1"/>
        <v>0</v>
      </c>
      <c r="BN5" s="18">
        <f t="shared" si="1"/>
        <v>0</v>
      </c>
      <c r="BO5" s="18">
        <f t="shared" si="1"/>
        <v>0</v>
      </c>
      <c r="BP5" s="18">
        <f t="shared" si="1"/>
        <v>0</v>
      </c>
      <c r="BQ5" s="18">
        <f t="shared" si="1"/>
        <v>0</v>
      </c>
      <c r="BR5" s="18">
        <f t="shared" si="1"/>
        <v>1549.13</v>
      </c>
      <c r="BS5" s="18">
        <f t="shared" si="1"/>
        <v>0</v>
      </c>
      <c r="BT5" s="19">
        <f t="shared" si="1"/>
        <v>0</v>
      </c>
    </row>
    <row r="6" spans="1:72" s="2177" customFormat="1" ht="12.75">
      <c r="A6" s="15" t="s">
        <v>1881</v>
      </c>
      <c r="B6" s="2174"/>
      <c r="C6" s="2174"/>
      <c r="D6" s="2175"/>
      <c r="E6" s="16">
        <f>H6+AC6+AT6</f>
        <v>14707.010000000002</v>
      </c>
      <c r="F6" s="16" t="s">
        <v>1</v>
      </c>
      <c r="G6" s="16" t="s">
        <v>2</v>
      </c>
      <c r="H6" s="20">
        <f>SUMIF(I$12:AB$12,"总值",I6:AB6)</f>
        <v>14569.910000000002</v>
      </c>
      <c r="I6" s="16">
        <f t="shared" ref="I6:AB6" si="2">ROUND($A$3*I5/$B$3,2)</f>
        <v>471.35</v>
      </c>
      <c r="J6" s="16">
        <f t="shared" si="2"/>
        <v>0</v>
      </c>
      <c r="K6" s="16">
        <f t="shared" si="2"/>
        <v>8417.5400000000009</v>
      </c>
      <c r="L6" s="16">
        <f t="shared" si="2"/>
        <v>0</v>
      </c>
      <c r="M6" s="16">
        <f t="shared" si="2"/>
        <v>2856.93</v>
      </c>
      <c r="N6" s="16">
        <f t="shared" si="2"/>
        <v>0</v>
      </c>
      <c r="O6" s="16">
        <f t="shared" si="2"/>
        <v>2824.09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137.1</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14707</v>
      </c>
      <c r="AZ6" s="16" t="s">
        <v>3</v>
      </c>
      <c r="BA6" s="16">
        <f>ROUND($AY$6*BA5/$AZ$5,2)</f>
        <v>14569.9</v>
      </c>
      <c r="BB6" s="16">
        <f>ROUND($AY$6*BB5/$AZ$5,2)</f>
        <v>471.35</v>
      </c>
      <c r="BC6" s="16">
        <f t="shared" ref="BC6:BH6" si="4">ROUND($AY$6*BC5/$AZ$5,2)</f>
        <v>8417.5400000000009</v>
      </c>
      <c r="BD6" s="16">
        <f t="shared" si="4"/>
        <v>2856.93</v>
      </c>
      <c r="BE6" s="16">
        <f t="shared" si="4"/>
        <v>2824.09</v>
      </c>
      <c r="BF6" s="16">
        <f t="shared" si="4"/>
        <v>0</v>
      </c>
      <c r="BG6" s="16">
        <f t="shared" si="4"/>
        <v>0</v>
      </c>
      <c r="BH6" s="16">
        <f t="shared" si="4"/>
        <v>0</v>
      </c>
      <c r="BI6" s="16">
        <f t="shared" ref="BI6:BT6" si="5">ROUND($AY$6*BI5/$AZ$5,2)</f>
        <v>0</v>
      </c>
      <c r="BJ6" s="16">
        <f t="shared" si="5"/>
        <v>0</v>
      </c>
      <c r="BK6" s="16">
        <f t="shared" si="5"/>
        <v>0</v>
      </c>
      <c r="BL6" s="16">
        <f t="shared" si="5"/>
        <v>137.1</v>
      </c>
      <c r="BM6" s="16">
        <f t="shared" si="5"/>
        <v>0</v>
      </c>
      <c r="BN6" s="16">
        <f t="shared" si="5"/>
        <v>0</v>
      </c>
      <c r="BO6" s="16">
        <f t="shared" si="5"/>
        <v>0</v>
      </c>
      <c r="BP6" s="16">
        <f t="shared" si="5"/>
        <v>0</v>
      </c>
      <c r="BQ6" s="16">
        <f t="shared" si="5"/>
        <v>0</v>
      </c>
      <c r="BR6" s="16">
        <f t="shared" si="5"/>
        <v>137.1</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1889</v>
      </c>
      <c r="AV7" s="23" t="s">
        <v>1890</v>
      </c>
      <c r="AW7" s="2166" t="s">
        <v>1891</v>
      </c>
      <c r="AX7" s="23" t="s">
        <v>1884</v>
      </c>
      <c r="AY7" s="1803"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8"/>
      <c r="K8" s="1818"/>
      <c r="L8" s="1818"/>
      <c r="M8" s="1818"/>
      <c r="N8" s="1818"/>
      <c r="O8" s="1818"/>
      <c r="P8" s="1818"/>
      <c r="Q8" s="1818"/>
      <c r="R8" s="1818"/>
      <c r="S8" s="1818"/>
      <c r="T8" s="1818"/>
      <c r="U8" s="1818"/>
      <c r="V8" s="2186"/>
      <c r="W8" s="1818"/>
      <c r="X8" s="1818"/>
      <c r="Y8" s="1818"/>
      <c r="Z8" s="1818"/>
      <c r="AA8" s="2186"/>
      <c r="AB8" s="2187"/>
      <c r="AC8" s="982" t="s">
        <v>1895</v>
      </c>
      <c r="AD8" s="2188"/>
      <c r="AE8" s="2180"/>
      <c r="AF8" s="1818"/>
      <c r="AG8" s="1818"/>
      <c r="AH8" s="1818"/>
      <c r="AI8" s="1818"/>
      <c r="AJ8" s="1818"/>
      <c r="AK8" s="1818"/>
      <c r="AL8" s="1818"/>
      <c r="AM8" s="1818"/>
      <c r="AN8" s="1818"/>
      <c r="AO8" s="1818"/>
      <c r="AP8" s="1818"/>
      <c r="AQ8" s="1818"/>
      <c r="AR8" s="1818"/>
      <c r="AS8" s="1818"/>
      <c r="AT8" s="1293" t="s">
        <v>1896</v>
      </c>
      <c r="AU8" s="2182" t="s">
        <v>1897</v>
      </c>
      <c r="AV8" s="1293"/>
      <c r="AW8" s="2165"/>
      <c r="AX8" s="1293"/>
      <c r="AY8" s="2166"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3"/>
      <c r="H9" s="2190" t="s">
        <v>1900</v>
      </c>
      <c r="I9" s="2191" t="s">
        <v>3072</v>
      </c>
      <c r="J9" s="982"/>
      <c r="K9" s="2191" t="s">
        <v>3072</v>
      </c>
      <c r="L9" s="982"/>
      <c r="M9" s="2191" t="s">
        <v>3075</v>
      </c>
      <c r="N9" s="982"/>
      <c r="O9" s="2191" t="s">
        <v>3075</v>
      </c>
      <c r="P9" s="982"/>
      <c r="Q9" s="2191"/>
      <c r="R9" s="982"/>
      <c r="S9" s="2191"/>
      <c r="T9" s="982"/>
      <c r="U9" s="2191"/>
      <c r="V9" s="982"/>
      <c r="W9" s="2191"/>
      <c r="X9" s="2192"/>
      <c r="Y9" s="2191"/>
      <c r="Z9" s="982"/>
      <c r="AA9" s="2191"/>
      <c r="AB9" s="982"/>
      <c r="AC9" s="2183"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3"/>
      <c r="AT9" s="2182"/>
      <c r="AU9" s="2182" t="s">
        <v>1903</v>
      </c>
      <c r="AV9" s="1293"/>
      <c r="AW9" s="2165"/>
      <c r="AX9" s="1293"/>
      <c r="AY9" s="28"/>
      <c r="AZ9" s="28" t="s">
        <v>1893</v>
      </c>
      <c r="BA9" s="2194" t="s">
        <v>1904</v>
      </c>
      <c r="BB9" s="2195"/>
      <c r="BC9" s="1339"/>
      <c r="BD9" s="1339"/>
      <c r="BE9" s="1339"/>
      <c r="BF9" s="1339"/>
      <c r="BG9" s="1339"/>
      <c r="BH9" s="1339"/>
      <c r="BI9" s="1339"/>
      <c r="BJ9" s="1339"/>
      <c r="BK9" s="2196"/>
      <c r="BL9" s="15" t="s">
        <v>1905</v>
      </c>
      <c r="BM9" s="1818"/>
      <c r="BN9" s="2185"/>
      <c r="BO9" s="1818"/>
      <c r="BP9" s="1818"/>
      <c r="BQ9" s="1818"/>
      <c r="BR9" s="1818"/>
      <c r="BS9" s="1818"/>
      <c r="BT9" s="26"/>
    </row>
    <row r="10" spans="1:72" s="2189" customFormat="1" ht="12.75">
      <c r="A10" s="2182"/>
      <c r="B10" s="2182"/>
      <c r="C10" s="2182"/>
      <c r="D10" s="2182"/>
      <c r="E10" s="2182"/>
      <c r="F10" s="2182"/>
      <c r="G10" s="1293"/>
      <c r="H10" s="28"/>
      <c r="I10" s="2191" t="s">
        <v>27</v>
      </c>
      <c r="J10" s="982"/>
      <c r="K10" s="2197" t="s">
        <v>27</v>
      </c>
      <c r="L10" s="982"/>
      <c r="M10" s="2197" t="s">
        <v>3070</v>
      </c>
      <c r="N10" s="982"/>
      <c r="O10" s="2197" t="s">
        <v>27</v>
      </c>
      <c r="P10" s="982"/>
      <c r="Q10" s="2197"/>
      <c r="R10" s="982"/>
      <c r="S10" s="2197"/>
      <c r="T10" s="982"/>
      <c r="U10" s="2197"/>
      <c r="V10" s="982"/>
      <c r="W10" s="2197"/>
      <c r="X10" s="982"/>
      <c r="Y10" s="2197"/>
      <c r="Z10" s="982"/>
      <c r="AA10" s="2197"/>
      <c r="AB10" s="982"/>
      <c r="AC10" s="1293"/>
      <c r="AD10" s="15" t="s">
        <v>1906</v>
      </c>
      <c r="AE10" s="2198"/>
      <c r="AF10" s="15" t="s">
        <v>1906</v>
      </c>
      <c r="AG10" s="2198"/>
      <c r="AH10" s="15" t="s">
        <v>1907</v>
      </c>
      <c r="AI10" s="2198"/>
      <c r="AJ10" s="15" t="s">
        <v>1907</v>
      </c>
      <c r="AK10" s="2198"/>
      <c r="AL10" s="15" t="s">
        <v>1908</v>
      </c>
      <c r="AM10" s="1299"/>
      <c r="AN10" s="15" t="s">
        <v>1908</v>
      </c>
      <c r="AO10" s="1299"/>
      <c r="AP10" s="15" t="s">
        <v>1909</v>
      </c>
      <c r="AQ10" s="1299"/>
      <c r="AR10" s="15" t="s">
        <v>1909</v>
      </c>
      <c r="AS10" s="1299"/>
      <c r="AT10" s="2182"/>
      <c r="AU10" s="2182"/>
      <c r="AV10" s="1293"/>
      <c r="AW10" s="2165"/>
      <c r="AX10" s="1293"/>
      <c r="AY10" s="28"/>
      <c r="AZ10" s="28"/>
      <c r="BA10" s="2199" t="s">
        <v>1900</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3"/>
      <c r="H11" s="2199"/>
      <c r="I11" s="2202" t="s">
        <v>3073</v>
      </c>
      <c r="J11" s="2203"/>
      <c r="K11" s="2202" t="s">
        <v>3074</v>
      </c>
      <c r="L11" s="2203"/>
      <c r="M11" s="2202" t="s">
        <v>3070</v>
      </c>
      <c r="N11" s="2203"/>
      <c r="O11" s="2202" t="s">
        <v>3073</v>
      </c>
      <c r="P11" s="2203"/>
      <c r="Q11" s="2202"/>
      <c r="R11" s="2203"/>
      <c r="S11" s="2202"/>
      <c r="T11" s="2203"/>
      <c r="U11" s="2202"/>
      <c r="V11" s="2203"/>
      <c r="W11" s="2202"/>
      <c r="X11" s="2203"/>
      <c r="Y11" s="2202"/>
      <c r="Z11" s="2203"/>
      <c r="AA11" s="2202"/>
      <c r="AB11" s="2203"/>
      <c r="AC11" s="1293"/>
      <c r="AD11" s="2204" t="s">
        <v>1910</v>
      </c>
      <c r="AE11" s="1819"/>
      <c r="AF11" s="2204" t="s">
        <v>1910</v>
      </c>
      <c r="AG11" s="1819"/>
      <c r="AH11" s="2204" t="s">
        <v>1911</v>
      </c>
      <c r="AI11" s="2205"/>
      <c r="AJ11" s="2204" t="s">
        <v>1911</v>
      </c>
      <c r="AK11" s="1819"/>
      <c r="AL11" s="1817"/>
      <c r="AM11" s="1819"/>
      <c r="AN11" s="1817"/>
      <c r="AO11" s="1819"/>
      <c r="AP11" s="1817"/>
      <c r="AQ11" s="1819"/>
      <c r="AR11" s="1817"/>
      <c r="AS11" s="1819"/>
      <c r="AT11" s="2165"/>
      <c r="AU11" s="2182"/>
      <c r="AV11" s="1293"/>
      <c r="AW11" s="2165"/>
      <c r="AX11" s="1293"/>
      <c r="AY11" s="28"/>
      <c r="AZ11" s="28"/>
      <c r="BA11" s="28"/>
      <c r="BB11" s="2187" t="str">
        <f>I10</f>
        <v>办公</v>
      </c>
      <c r="BC11" s="2187" t="str">
        <f>K10</f>
        <v>办公</v>
      </c>
      <c r="BD11" s="2187" t="str">
        <f>M10</f>
        <v>车库</v>
      </c>
      <c r="BE11" s="2187" t="str">
        <f>O10</f>
        <v>办公</v>
      </c>
      <c r="BF11" s="2187">
        <f>Q10</f>
        <v>0</v>
      </c>
      <c r="BG11" s="2187">
        <f>S10</f>
        <v>0</v>
      </c>
      <c r="BH11" s="2187">
        <f>U10</f>
        <v>0</v>
      </c>
      <c r="BI11" s="2187">
        <f>W10</f>
        <v>0</v>
      </c>
      <c r="BJ11" s="2187">
        <f>Y10</f>
        <v>0</v>
      </c>
      <c r="BK11" s="2187">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9"/>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t="str">
        <f>K11</f>
        <v>办公楼</v>
      </c>
      <c r="BD12" s="2212" t="str">
        <f>M11</f>
        <v>车库</v>
      </c>
      <c r="BE12" s="2187" t="str">
        <f>O11</f>
        <v>底商</v>
      </c>
      <c r="BF12" s="2187">
        <f>Q11</f>
        <v>0</v>
      </c>
      <c r="BG12" s="2187">
        <f>S11</f>
        <v>0</v>
      </c>
      <c r="BH12" s="2187">
        <f>U11</f>
        <v>0</v>
      </c>
      <c r="BI12" s="2187">
        <f>W11</f>
        <v>0</v>
      </c>
      <c r="BJ12" s="2187">
        <f>Y11</f>
        <v>0</v>
      </c>
      <c r="BK12" s="2187">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2953"/>
      <c r="D13" s="2213" t="s">
        <v>3060</v>
      </c>
      <c r="E13" s="16">
        <f>IF($C$3="是",ROUND($A$3*G13/$B$3,2),ROUND($A$3*(G13-AT13)/$B$3,2))</f>
        <v>14707</v>
      </c>
      <c r="F13" s="32"/>
      <c r="G13" s="33">
        <f>H13+AC13+AT13</f>
        <v>166180.56000000003</v>
      </c>
      <c r="H13" s="20">
        <f>SUMIF(I$12:AB$12,"总值",I13:AB13)</f>
        <v>164631.43000000002</v>
      </c>
      <c r="I13" s="2214">
        <f>面积表!C5</f>
        <v>5325.9400000000005</v>
      </c>
      <c r="J13" s="2214"/>
      <c r="K13" s="2214">
        <f>SUM(面积表!C6:C10,0)</f>
        <v>95113.260000000009</v>
      </c>
      <c r="L13" s="2214"/>
      <c r="M13" s="2214">
        <f>面积表!C11</f>
        <v>32281.690000000002</v>
      </c>
      <c r="N13" s="2214"/>
      <c r="O13" s="2214">
        <f>面积表!C4+面积表!C3</f>
        <v>31910.54</v>
      </c>
      <c r="P13" s="2214"/>
      <c r="Q13" s="2214"/>
      <c r="R13" s="2214"/>
      <c r="S13" s="2214"/>
      <c r="T13" s="2214"/>
      <c r="U13" s="2214"/>
      <c r="V13" s="2214"/>
      <c r="W13" s="2214"/>
      <c r="X13" s="2214"/>
      <c r="Y13" s="2214"/>
      <c r="Z13" s="2214"/>
      <c r="AA13" s="2214"/>
      <c r="AB13" s="2214"/>
      <c r="AC13" s="16">
        <f>SUMIF(AD$12:AS$12,"总值",AD13:AS13)</f>
        <v>1549.13</v>
      </c>
      <c r="AD13" s="2215"/>
      <c r="AE13" s="2215"/>
      <c r="AF13" s="2215"/>
      <c r="AG13" s="2215"/>
      <c r="AH13" s="2215"/>
      <c r="AI13" s="2215"/>
      <c r="AJ13" s="2215"/>
      <c r="AK13" s="2215"/>
      <c r="AL13" s="2215"/>
      <c r="AM13" s="2215"/>
      <c r="AN13" s="2215">
        <f>面积表!C12</f>
        <v>1549.13</v>
      </c>
      <c r="AO13" s="2215"/>
      <c r="AP13" s="2215"/>
      <c r="AQ13" s="2215"/>
      <c r="AR13" s="2215"/>
      <c r="AS13" s="2215"/>
      <c r="AT13" s="2216"/>
      <c r="AU13" s="2217"/>
      <c r="AV13" s="11">
        <f t="shared" ref="AV13:AX17" si="6">A13</f>
        <v>0</v>
      </c>
      <c r="AW13" s="11">
        <f t="shared" si="6"/>
        <v>0</v>
      </c>
      <c r="AX13" s="11">
        <f t="shared" si="6"/>
        <v>0</v>
      </c>
      <c r="AY13" s="1806">
        <f>ROUND($AY$6*AZ13/$AZ$5,2)</f>
        <v>14707</v>
      </c>
      <c r="AZ13" s="16">
        <f>BA13+BL13</f>
        <v>166180.56000000003</v>
      </c>
      <c r="BA13" s="16">
        <f>SUM(BB13:BK13)</f>
        <v>164631.43000000002</v>
      </c>
      <c r="BB13" s="16">
        <f>IF($D13="是",I13-J13,0)</f>
        <v>5325.9400000000005</v>
      </c>
      <c r="BC13" s="16">
        <f>IF($D13="是",K13-L13,0)</f>
        <v>95113.260000000009</v>
      </c>
      <c r="BD13" s="16">
        <f>IF($D13="是",M13-N13,0)</f>
        <v>32281.690000000002</v>
      </c>
      <c r="BE13" s="16">
        <f>IF($D13="是",O13-P13,0)</f>
        <v>31910.54</v>
      </c>
      <c r="BF13" s="16">
        <f>IF($D13="是",Q13-R13,0)</f>
        <v>0</v>
      </c>
      <c r="BG13" s="16">
        <f>IF($D13="是",S13-T13,0)</f>
        <v>0</v>
      </c>
      <c r="BH13" s="16">
        <f>IF($D13="是",U13-V13,0)</f>
        <v>0</v>
      </c>
      <c r="BI13" s="16">
        <f>IF($D13="是",W13-X13,0)</f>
        <v>0</v>
      </c>
      <c r="BJ13" s="16">
        <f>IF($D13="是",Y13-Z13,0)</f>
        <v>0</v>
      </c>
      <c r="BK13" s="16">
        <f>IF($D13="是",AA13-AB13,0)</f>
        <v>0</v>
      </c>
      <c r="BL13" s="16">
        <f>SUM(BM13:BT13)</f>
        <v>1549.13</v>
      </c>
      <c r="BM13" s="16">
        <f>IF($D13="是",AD13-AE13,0)</f>
        <v>0</v>
      </c>
      <c r="BN13" s="16">
        <f>IF($D13="是",AF13-AG13,0)</f>
        <v>0</v>
      </c>
      <c r="BO13" s="16">
        <f>IF($D13="是",AH13-AI13,0)</f>
        <v>0</v>
      </c>
      <c r="BP13" s="16">
        <f>IF($D13="是",AJ13-AK13,0)</f>
        <v>0</v>
      </c>
      <c r="BQ13" s="16">
        <f>IF($D13="是",AL13-AM13,0)</f>
        <v>0</v>
      </c>
      <c r="BR13" s="16">
        <f>IF($D13="是",AN13-AO13,0)</f>
        <v>1549.13</v>
      </c>
      <c r="BS13" s="16">
        <f>IF($D13="是",AP13-AQ13,0)</f>
        <v>0</v>
      </c>
      <c r="BT13" s="22">
        <f>IF($D13="是",AR13-AS13,0)</f>
        <v>0</v>
      </c>
    </row>
    <row r="14" spans="1:72" s="2167" customFormat="1" ht="12.75">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3"/>
      <c r="C1" s="1393"/>
      <c r="D1" s="1393"/>
      <c r="E1" s="1393"/>
      <c r="F1" s="1393"/>
      <c r="G1" s="1393"/>
      <c r="H1" s="1393"/>
      <c r="I1" s="1393"/>
      <c r="J1" s="1393"/>
      <c r="K1" s="1393"/>
      <c r="L1" s="1393"/>
      <c r="M1" s="1393"/>
      <c r="N1" s="1393"/>
      <c r="O1" s="1393"/>
      <c r="P1" s="1393"/>
    </row>
    <row r="2" spans="1:16" ht="15">
      <c r="A2" s="3074" t="s">
        <v>1940</v>
      </c>
      <c r="B2" s="3074"/>
      <c r="C2" s="3074"/>
      <c r="D2" s="968" t="s">
        <v>1916</v>
      </c>
      <c r="E2" s="2227" t="s">
        <v>1917</v>
      </c>
      <c r="F2" s="1393"/>
      <c r="G2" s="2228"/>
      <c r="H2" s="2229"/>
      <c r="I2" s="2230" t="s">
        <v>1941</v>
      </c>
      <c r="J2" s="1393"/>
      <c r="K2" s="1393"/>
      <c r="L2" s="1393"/>
      <c r="M2" s="1393"/>
      <c r="N2" s="1428"/>
      <c r="O2" s="1393"/>
      <c r="P2" s="1393"/>
    </row>
    <row r="3" spans="1:16" ht="15.75" thickBot="1">
      <c r="A3" s="3075" t="s">
        <v>1914</v>
      </c>
      <c r="B3" s="3075"/>
      <c r="C3" s="3075"/>
      <c r="D3" s="46">
        <f>'数据-基础表'!AY6</f>
        <v>14707</v>
      </c>
      <c r="E3" s="46">
        <f>'数据-基础表'!AZ5</f>
        <v>166180.56000000003</v>
      </c>
      <c r="F3" s="1393"/>
      <c r="G3" s="1400"/>
      <c r="H3" s="1248" t="s">
        <v>1915</v>
      </c>
      <c r="I3" s="55">
        <f>ROUND('数据-基础表'!B3/'数据-基础表'!A3,2)</f>
        <v>11.3</v>
      </c>
      <c r="J3" s="1393"/>
      <c r="K3" s="1393"/>
      <c r="L3" s="1393"/>
      <c r="M3" s="1393"/>
      <c r="N3" s="1428"/>
      <c r="O3" s="1393"/>
      <c r="P3" s="1393"/>
    </row>
    <row r="4" spans="1:16" ht="15">
      <c r="A4" s="3076"/>
      <c r="B4" s="3077"/>
      <c r="C4" s="3078"/>
      <c r="D4" s="2231" t="s">
        <v>1916</v>
      </c>
      <c r="E4" s="2232" t="s">
        <v>1917</v>
      </c>
      <c r="F4" s="1393"/>
      <c r="G4" s="2233" t="s">
        <v>1942</v>
      </c>
      <c r="H4" s="1248" t="s">
        <v>1922</v>
      </c>
      <c r="I4" s="55">
        <f>ROUND(SUMIF('数据-基础表'!I9:AS9,"地上",'数据-基础表'!I5:AS5)/'数据-基础表'!A3,2)</f>
        <v>6.83</v>
      </c>
      <c r="J4" s="1393"/>
      <c r="K4" s="1393"/>
      <c r="L4" s="1393"/>
      <c r="M4" s="1393"/>
      <c r="N4" s="1428"/>
      <c r="O4" s="1393"/>
      <c r="P4" s="1393"/>
    </row>
    <row r="5" spans="1:16">
      <c r="A5" s="47" t="s">
        <v>1918</v>
      </c>
      <c r="B5" s="3079" t="s">
        <v>1919</v>
      </c>
      <c r="C5" s="3079"/>
      <c r="D5" s="48">
        <f>ROUND($D$3*E5/$E$3,2)</f>
        <v>0</v>
      </c>
      <c r="E5" s="49">
        <f>SUMIF('数据-基础表'!$11:$11,"住宅",'数据-基础表'!$5:$5)</f>
        <v>0</v>
      </c>
      <c r="F5" s="1393"/>
      <c r="G5" s="1400"/>
      <c r="H5" s="1248" t="s">
        <v>1915</v>
      </c>
      <c r="I5" s="55">
        <f>ROUND(E31/D31,2)</f>
        <v>11.3</v>
      </c>
      <c r="J5" s="1393"/>
      <c r="K5" s="1393"/>
      <c r="L5" s="1393"/>
      <c r="M5" s="1393"/>
      <c r="N5" s="1393"/>
      <c r="O5" s="1393"/>
      <c r="P5" s="1393"/>
    </row>
    <row r="6" spans="1:16" ht="15" thickBot="1">
      <c r="A6" s="2234"/>
      <c r="B6" s="3079" t="s">
        <v>1920</v>
      </c>
      <c r="C6" s="3079"/>
      <c r="D6" s="48">
        <f>ROUND($D$3*E6/$E$3,2)</f>
        <v>14707</v>
      </c>
      <c r="E6" s="49">
        <f>E3-E5</f>
        <v>166180.56000000003</v>
      </c>
      <c r="F6" s="1393"/>
      <c r="G6" s="2235" t="s">
        <v>1921</v>
      </c>
      <c r="H6" s="1400" t="s">
        <v>1922</v>
      </c>
      <c r="I6" s="940">
        <f>ROUND(F31/D31,2)</f>
        <v>6.83</v>
      </c>
      <c r="J6" s="1393"/>
      <c r="K6" s="1393"/>
      <c r="L6" s="1393"/>
      <c r="M6" s="1393"/>
      <c r="N6" s="1393"/>
      <c r="O6" s="1393"/>
      <c r="P6" s="1393"/>
    </row>
    <row r="7" spans="1:16" ht="15">
      <c r="A7" s="3071"/>
      <c r="B7" s="3072"/>
      <c r="C7" s="3073"/>
      <c r="D7" s="2231" t="s">
        <v>1916</v>
      </c>
      <c r="E7" s="2236" t="s">
        <v>1923</v>
      </c>
      <c r="F7" s="1393"/>
      <c r="G7" s="2228" t="s">
        <v>1924</v>
      </c>
      <c r="H7" s="64"/>
      <c r="I7" s="419"/>
      <c r="J7" s="1393"/>
      <c r="K7" s="1393"/>
      <c r="L7" s="1393"/>
      <c r="M7" s="1393"/>
      <c r="N7" s="1393"/>
      <c r="O7" s="1393"/>
      <c r="P7" s="1393"/>
    </row>
    <row r="8" spans="1:16">
      <c r="A8" s="47" t="s">
        <v>1925</v>
      </c>
      <c r="B8" s="50" t="s">
        <v>1926</v>
      </c>
      <c r="C8" s="48" t="s">
        <v>1927</v>
      </c>
      <c r="D8" s="48">
        <f t="shared" ref="D8:D15" si="0">ROUND($D$3*E8/$E$3,2)</f>
        <v>8888.8799999999992</v>
      </c>
      <c r="E8" s="51">
        <f>SUMIF('数据-基础表'!BB10:BK10,"地上",'数据-基础表'!BB5:BK5)</f>
        <v>100439.20000000001</v>
      </c>
      <c r="F8" s="1393"/>
      <c r="G8" s="2237"/>
      <c r="H8" s="2237"/>
      <c r="I8" s="1393"/>
      <c r="J8" s="1393"/>
      <c r="K8" s="1393"/>
      <c r="L8" s="1393"/>
      <c r="M8" s="1393"/>
      <c r="N8" s="1393"/>
      <c r="O8" s="1393"/>
      <c r="P8" s="1393"/>
    </row>
    <row r="9" spans="1:16">
      <c r="A9" s="2238"/>
      <c r="B9" s="2239"/>
      <c r="C9" s="48" t="s">
        <v>1928</v>
      </c>
      <c r="D9" s="48">
        <f t="shared" si="0"/>
        <v>0</v>
      </c>
      <c r="E9" s="52">
        <v>0</v>
      </c>
      <c r="F9" s="1393"/>
      <c r="G9" s="2237"/>
      <c r="H9" s="2237"/>
      <c r="I9" s="1393"/>
      <c r="J9" s="1393"/>
      <c r="K9" s="1393"/>
      <c r="L9" s="1393"/>
      <c r="M9" s="1393"/>
      <c r="N9" s="1393"/>
      <c r="O9" s="1393"/>
      <c r="P9" s="1393"/>
    </row>
    <row r="10" spans="1:16">
      <c r="A10" s="2238"/>
      <c r="B10" s="2239"/>
      <c r="C10" s="48" t="s">
        <v>1937</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1929</v>
      </c>
      <c r="D11" s="48">
        <f t="shared" si="0"/>
        <v>2824.09</v>
      </c>
      <c r="E11" s="51">
        <f>SUMPRODUCT(('数据-基础表'!BB10:BK10="地下")*('数据-基础表'!BB11:BK11="办公")*('数据-基础表'!BB5:BK5))+'数据-基础表'!BP5</f>
        <v>31910.54</v>
      </c>
      <c r="F11" s="1393"/>
      <c r="G11" s="2237"/>
      <c r="H11" s="2237"/>
      <c r="I11" s="1393"/>
      <c r="J11" s="1393"/>
      <c r="K11" s="1393"/>
      <c r="L11" s="1393"/>
      <c r="M11" s="1393"/>
      <c r="N11" s="1393"/>
      <c r="O11" s="1393"/>
      <c r="P11" s="1393"/>
    </row>
    <row r="12" spans="1:16">
      <c r="A12" s="2238"/>
      <c r="B12" s="2239"/>
      <c r="C12" s="48" t="s">
        <v>1930</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1931</v>
      </c>
      <c r="D13" s="48">
        <f t="shared" si="0"/>
        <v>2856.93</v>
      </c>
      <c r="E13" s="51">
        <f>SUMPRODUCT(('数据-基础表'!BB10:BK10="地下")*('数据-基础表'!BB11:BK11="车库")*('数据-基础表'!BB5:BK5))</f>
        <v>32281.690000000002</v>
      </c>
      <c r="F13" s="1393"/>
      <c r="G13" s="2237"/>
      <c r="H13" s="2237"/>
      <c r="I13" s="1393"/>
      <c r="J13" s="1393"/>
      <c r="K13" s="1393"/>
      <c r="L13" s="1393"/>
      <c r="M13" s="1393"/>
      <c r="N13" s="1393"/>
      <c r="O13" s="1393"/>
      <c r="P13" s="1393"/>
    </row>
    <row r="14" spans="1:16">
      <c r="A14" s="2238"/>
      <c r="B14" s="2239"/>
      <c r="C14" s="48" t="s">
        <v>1943</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1938</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1932</v>
      </c>
      <c r="D16" s="50">
        <f>SUM(D8:D15)</f>
        <v>14569.9</v>
      </c>
      <c r="E16" s="53">
        <f>SUM(E8:E15)</f>
        <v>164631.43000000002</v>
      </c>
      <c r="F16" s="1393"/>
      <c r="G16" s="2237"/>
      <c r="H16" s="2240" t="s">
        <v>1944</v>
      </c>
      <c r="I16" s="2241"/>
      <c r="J16" s="1393"/>
      <c r="K16" s="3068" t="s">
        <v>1944</v>
      </c>
      <c r="L16" s="3069"/>
      <c r="M16" s="3069"/>
      <c r="N16" s="3069"/>
      <c r="O16" s="3069"/>
      <c r="P16" s="3070"/>
    </row>
    <row r="17" spans="1:19" ht="15">
      <c r="A17" s="2242" t="s">
        <v>1945</v>
      </c>
      <c r="B17" s="2243" t="s">
        <v>1946</v>
      </c>
      <c r="C17" s="2244" t="s">
        <v>1947</v>
      </c>
      <c r="D17" s="2245" t="s">
        <v>1935</v>
      </c>
      <c r="E17" s="2246" t="s">
        <v>1936</v>
      </c>
      <c r="F17" s="2247"/>
      <c r="G17" s="2248"/>
      <c r="H17" s="2249" t="s">
        <v>1948</v>
      </c>
      <c r="I17" s="2250" t="s">
        <v>1933</v>
      </c>
      <c r="J17" s="1393"/>
      <c r="K17" s="3065" t="s">
        <v>1949</v>
      </c>
      <c r="L17" s="3066"/>
      <c r="M17" s="3067"/>
      <c r="N17" s="3065" t="s">
        <v>1950</v>
      </c>
      <c r="O17" s="3066"/>
      <c r="P17" s="3067"/>
      <c r="R17" s="2228" t="s">
        <v>1951</v>
      </c>
      <c r="S17" s="64"/>
    </row>
    <row r="18" spans="1:19" ht="15">
      <c r="A18" s="2238"/>
      <c r="B18" s="2251"/>
      <c r="C18" s="2252"/>
      <c r="D18" s="2253"/>
      <c r="E18" s="2254" t="s">
        <v>1952</v>
      </c>
      <c r="F18" s="2255" t="s">
        <v>1953</v>
      </c>
      <c r="G18" s="2256" t="s">
        <v>1954</v>
      </c>
      <c r="H18" s="1263" t="s">
        <v>1955</v>
      </c>
      <c r="I18" s="2257" t="s">
        <v>1956</v>
      </c>
      <c r="J18" s="1393"/>
      <c r="K18" s="1263" t="s">
        <v>1957</v>
      </c>
      <c r="L18" s="2258" t="s">
        <v>1958</v>
      </c>
      <c r="M18" s="1047" t="s">
        <v>1959</v>
      </c>
      <c r="N18" s="1263" t="s">
        <v>1957</v>
      </c>
      <c r="O18" s="2258" t="s">
        <v>1958</v>
      </c>
      <c r="P18" s="1047" t="s">
        <v>1959</v>
      </c>
      <c r="R18" s="1248" t="s">
        <v>1960</v>
      </c>
      <c r="S18" s="1248" t="s">
        <v>1961</v>
      </c>
    </row>
    <row r="19" spans="1:19">
      <c r="A19" s="2259"/>
      <c r="B19" s="50" t="s">
        <v>1934</v>
      </c>
      <c r="C19" s="2955" t="s">
        <v>3085</v>
      </c>
      <c r="D19" s="48">
        <f>ROUND($D$3*E19/$E$3,2)</f>
        <v>471.35</v>
      </c>
      <c r="E19" s="56">
        <f t="shared" ref="E19:E26" si="1">SUM(F19:G19)</f>
        <v>5325.9400000000005</v>
      </c>
      <c r="F19" s="57">
        <f>面积表!C5</f>
        <v>5325.9400000000005</v>
      </c>
      <c r="G19" s="58"/>
      <c r="H19" s="722">
        <f>ROUND($D$3*I19/$E$3,2)</f>
        <v>4.4400000000000004</v>
      </c>
      <c r="I19" s="51">
        <f t="shared" ref="I19:I26" si="2">IF($I$17="自定义",P19,M19)</f>
        <v>50.12</v>
      </c>
      <c r="J19" s="1393"/>
      <c r="K19" s="1392">
        <f t="shared" ref="K19:K26" si="3">ROUND(E$28*E19/E$27,2)</f>
        <v>50.12</v>
      </c>
      <c r="L19" s="1248">
        <f t="shared" ref="L19:L26" si="4">ROUND(IF(COUNTIF(C19,"*住宅*")&gt;0,E$29*E19/E$32,0),2)</f>
        <v>0</v>
      </c>
      <c r="M19" s="1404">
        <f>K19+L19</f>
        <v>50.12</v>
      </c>
      <c r="N19" s="2260"/>
      <c r="O19" s="2261"/>
      <c r="P19" s="1404">
        <f>N19+O19</f>
        <v>0</v>
      </c>
      <c r="R19" s="1248">
        <f t="shared" ref="R19:S26" si="5">D19+H19</f>
        <v>475.79</v>
      </c>
      <c r="S19" s="1249">
        <f t="shared" si="5"/>
        <v>5376.06</v>
      </c>
    </row>
    <row r="20" spans="1:19">
      <c r="A20" s="2262"/>
      <c r="B20" s="50" t="s">
        <v>1962</v>
      </c>
      <c r="C20" s="2955" t="s">
        <v>3077</v>
      </c>
      <c r="D20" s="48">
        <f t="shared" ref="D20:D26" si="6">ROUND($D$3*E20/$E$3,2)</f>
        <v>8417.5400000000009</v>
      </c>
      <c r="E20" s="56">
        <f t="shared" si="1"/>
        <v>95113.260000000009</v>
      </c>
      <c r="F20" s="57">
        <f>'数据-基础表'!K13</f>
        <v>95113.260000000009</v>
      </c>
      <c r="G20" s="58"/>
      <c r="H20" s="722">
        <f t="shared" ref="H20:H26" si="7">ROUND($D$3*I20/$E$3,2)</f>
        <v>79.209999999999994</v>
      </c>
      <c r="I20" s="51">
        <f t="shared" si="2"/>
        <v>894.99</v>
      </c>
      <c r="J20" s="1393"/>
      <c r="K20" s="1392">
        <f t="shared" si="3"/>
        <v>894.99</v>
      </c>
      <c r="L20" s="1248">
        <f t="shared" si="4"/>
        <v>0</v>
      </c>
      <c r="M20" s="1404">
        <f t="shared" ref="M20:M26" si="8">K20+L20</f>
        <v>894.99</v>
      </c>
      <c r="N20" s="2260"/>
      <c r="O20" s="2261"/>
      <c r="P20" s="1404">
        <f t="shared" ref="P20:P26" si="9">N20+O20</f>
        <v>0</v>
      </c>
      <c r="R20" s="1248">
        <f t="shared" si="5"/>
        <v>8496.75</v>
      </c>
      <c r="S20" s="1249">
        <f t="shared" si="5"/>
        <v>96008.250000000015</v>
      </c>
    </row>
    <row r="21" spans="1:19">
      <c r="A21" s="2262"/>
      <c r="B21" s="50" t="s">
        <v>1962</v>
      </c>
      <c r="C21" s="2955" t="s">
        <v>3078</v>
      </c>
      <c r="D21" s="48">
        <f t="shared" si="6"/>
        <v>2856.93</v>
      </c>
      <c r="E21" s="56">
        <f t="shared" si="1"/>
        <v>32281.690000000002</v>
      </c>
      <c r="F21" s="57"/>
      <c r="G21" s="58">
        <f>'数据-基础表'!M13</f>
        <v>32281.690000000002</v>
      </c>
      <c r="H21" s="722">
        <f t="shared" si="7"/>
        <v>26.88</v>
      </c>
      <c r="I21" s="51">
        <f t="shared" si="2"/>
        <v>303.76</v>
      </c>
      <c r="J21" s="1393"/>
      <c r="K21" s="1392">
        <f t="shared" si="3"/>
        <v>303.76</v>
      </c>
      <c r="L21" s="1248">
        <f t="shared" si="4"/>
        <v>0</v>
      </c>
      <c r="M21" s="1404">
        <f t="shared" si="8"/>
        <v>303.76</v>
      </c>
      <c r="N21" s="2260"/>
      <c r="O21" s="2261"/>
      <c r="P21" s="1404">
        <f t="shared" si="9"/>
        <v>0</v>
      </c>
      <c r="R21" s="1248">
        <f t="shared" si="5"/>
        <v>2883.81</v>
      </c>
      <c r="S21" s="1249">
        <f t="shared" si="5"/>
        <v>32585.45</v>
      </c>
    </row>
    <row r="22" spans="1:19">
      <c r="A22" s="2262"/>
      <c r="B22" s="50" t="s">
        <v>1962</v>
      </c>
      <c r="C22" s="2957" t="s">
        <v>3086</v>
      </c>
      <c r="D22" s="48">
        <f t="shared" si="6"/>
        <v>2824.09</v>
      </c>
      <c r="E22" s="56">
        <f t="shared" si="1"/>
        <v>31910.54</v>
      </c>
      <c r="F22" s="61"/>
      <c r="G22" s="62">
        <f>面积表!C3+面积表!C4</f>
        <v>31910.54</v>
      </c>
      <c r="H22" s="722">
        <f t="shared" si="7"/>
        <v>26.57</v>
      </c>
      <c r="I22" s="51">
        <f t="shared" si="2"/>
        <v>300.27</v>
      </c>
      <c r="J22" s="1393"/>
      <c r="K22" s="1392">
        <f t="shared" si="3"/>
        <v>300.27</v>
      </c>
      <c r="L22" s="1248">
        <f t="shared" si="4"/>
        <v>0</v>
      </c>
      <c r="M22" s="1404">
        <f t="shared" si="8"/>
        <v>300.27</v>
      </c>
      <c r="N22" s="2260"/>
      <c r="O22" s="2261"/>
      <c r="P22" s="1404">
        <f t="shared" si="9"/>
        <v>0</v>
      </c>
      <c r="R22" s="1248">
        <f t="shared" si="5"/>
        <v>2850.6600000000003</v>
      </c>
      <c r="S22" s="1249">
        <f t="shared" si="5"/>
        <v>32210.81</v>
      </c>
    </row>
    <row r="23" spans="1:19">
      <c r="A23" s="2262"/>
      <c r="B23" s="50" t="s">
        <v>1962</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1962</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29.25" thickBot="1">
      <c r="A27" s="2262"/>
      <c r="B27" s="48"/>
      <c r="C27" s="2265" t="s">
        <v>1963</v>
      </c>
      <c r="D27" s="1394">
        <f>SUM(D19:D26)</f>
        <v>14569.910000000002</v>
      </c>
      <c r="E27" s="1395">
        <f>IF(SUM(E19:E26)='数据-基础表'!BA5,SUM(E19:E26),IF(F27="地上面积有误","面积有误","地下面积有误"))</f>
        <v>164631.43000000002</v>
      </c>
      <c r="F27" s="1394">
        <f>IF(SUM(F19:F26)=E8,SUM(F19:F26),"地上面积有误")</f>
        <v>100439.20000000001</v>
      </c>
      <c r="G27" s="1396">
        <f>SUM(G19:G26)</f>
        <v>64192.23</v>
      </c>
      <c r="H27" s="1397">
        <f>SUM(H19:H26)</f>
        <v>137.1</v>
      </c>
      <c r="I27" s="1398">
        <f>SUM(I19:I26)</f>
        <v>1549.1399999999999</v>
      </c>
      <c r="J27" s="1393"/>
      <c r="K27" s="1401">
        <f>SUM(K19:K26)</f>
        <v>1549.1399999999999</v>
      </c>
      <c r="L27" s="1402">
        <f>SUM(L19:L26)</f>
        <v>0</v>
      </c>
      <c r="M27" s="1405">
        <f>SUM(M19:M26)</f>
        <v>1549.1399999999999</v>
      </c>
      <c r="N27" s="1401">
        <f t="shared" ref="N27:O27" si="10">SUM(N19:N26)</f>
        <v>0</v>
      </c>
      <c r="O27" s="1402">
        <f t="shared" si="10"/>
        <v>0</v>
      </c>
      <c r="P27" s="1403">
        <f>SUM(P19:P26)</f>
        <v>0</v>
      </c>
      <c r="R27" s="1250" t="str">
        <f>IF(SUM(R19:R26)=$D$3,SUM(R19:R26),SUM(R19:R26)&amp;"误差"&amp;ROUND(SUM(R19:R26)-$D$3,2))</f>
        <v>14707.01误差0.01</v>
      </c>
      <c r="S27" s="1248" t="str">
        <f>IF(SUM(S19:S26)=$E$3,SUM(S19:S26),SUM(S19:S26)&amp;"误差"&amp;ROUND(SUM(S19:S26)-E3,2))</f>
        <v>166180.57误差0.01</v>
      </c>
    </row>
    <row r="28" spans="1:19">
      <c r="A28" s="2262"/>
      <c r="B28" s="50" t="s">
        <v>1964</v>
      </c>
      <c r="C28" s="1260" t="s">
        <v>1965</v>
      </c>
      <c r="D28" s="48">
        <f>ROUND($D$3*E28/$E$3,2)</f>
        <v>137.1</v>
      </c>
      <c r="E28" s="56">
        <f>SUM(F28:G28)</f>
        <v>1549.13</v>
      </c>
      <c r="F28" s="64">
        <f>'数据-基础表'!BQ5+'数据-基础表'!BS5</f>
        <v>0</v>
      </c>
      <c r="G28" s="65">
        <f>'数据-基础表'!BR5+'数据-基础表'!BT5</f>
        <v>1549.13</v>
      </c>
      <c r="H28" s="1393"/>
      <c r="I28" s="1393"/>
      <c r="J28" s="1393"/>
      <c r="K28" s="1393"/>
      <c r="L28" s="1393"/>
      <c r="M28" s="1393"/>
      <c r="N28" s="1393"/>
      <c r="O28" s="1393"/>
      <c r="P28" s="1393"/>
    </row>
    <row r="29" spans="1:19">
      <c r="A29" s="2262"/>
      <c r="B29" s="50" t="s">
        <v>1964</v>
      </c>
      <c r="C29" s="2266"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1963</v>
      </c>
      <c r="D30" s="1394">
        <f>SUM(D28:D29)</f>
        <v>137.1</v>
      </c>
      <c r="E30" s="1394">
        <f>SUM(E28:E29)</f>
        <v>1549.13</v>
      </c>
      <c r="F30" s="1394">
        <f>SUM(F28:F29)</f>
        <v>0</v>
      </c>
      <c r="G30" s="1396">
        <f>SUM(G28:G29)</f>
        <v>1549.13</v>
      </c>
      <c r="H30" s="1393"/>
      <c r="I30" s="1393"/>
      <c r="J30" s="1393"/>
      <c r="K30" s="1393"/>
      <c r="L30" s="1393"/>
      <c r="M30" s="1393"/>
      <c r="N30" s="1393"/>
      <c r="O30" s="1393"/>
      <c r="P30" s="1393"/>
    </row>
    <row r="31" spans="1:19" ht="15.75" thickBot="1">
      <c r="A31" s="2268"/>
      <c r="B31" s="2269"/>
      <c r="C31" s="1008" t="s">
        <v>1967</v>
      </c>
      <c r="D31" s="728">
        <f>D27+D30</f>
        <v>14707.010000000002</v>
      </c>
      <c r="E31" s="728">
        <f>E27+E30</f>
        <v>166180.56000000003</v>
      </c>
      <c r="F31" s="729">
        <f>F27+F30</f>
        <v>100439.20000000001</v>
      </c>
      <c r="G31" s="730">
        <f>G27+G30</f>
        <v>65741.36</v>
      </c>
      <c r="H31" s="1393"/>
      <c r="I31" s="1393"/>
      <c r="J31" s="1393"/>
      <c r="K31" s="1393"/>
      <c r="L31" s="1393"/>
      <c r="M31" s="1393"/>
      <c r="N31" s="1393"/>
      <c r="O31" s="1393"/>
      <c r="P31" s="1393"/>
    </row>
    <row r="32" spans="1:19">
      <c r="A32" s="2233"/>
      <c r="B32" s="2233" t="s">
        <v>1968</v>
      </c>
      <c r="C32" s="2233"/>
      <c r="D32" s="2233"/>
      <c r="E32" s="1275">
        <f>SUMIF(C19:C26,"*住宅*",E19:E26)</f>
        <v>0</v>
      </c>
      <c r="F32" s="2233"/>
      <c r="G32" s="2233"/>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8" activeCellId="1" sqref="T8 M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1"/>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1970</v>
      </c>
      <c r="B2" s="1267">
        <f>项目基本情况!D3</f>
        <v>43468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4" t="s">
        <v>1975</v>
      </c>
      <c r="AA4" s="2244"/>
      <c r="AB4" s="2244"/>
      <c r="AC4" s="2244"/>
      <c r="AD4" s="2244"/>
      <c r="AE4" s="2242" t="s">
        <v>1976</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69" t="s">
        <v>1981</v>
      </c>
      <c r="F5" s="2292" t="s">
        <v>1982</v>
      </c>
      <c r="G5" s="1269" t="s">
        <v>1983</v>
      </c>
      <c r="H5" s="1269" t="s">
        <v>1984</v>
      </c>
      <c r="I5" s="1269" t="s">
        <v>1985</v>
      </c>
      <c r="J5" s="2293" t="s">
        <v>1986</v>
      </c>
      <c r="K5" s="2294" t="s">
        <v>1987</v>
      </c>
      <c r="L5" s="2295" t="s">
        <v>1988</v>
      </c>
      <c r="M5" s="2296" t="s">
        <v>1989</v>
      </c>
      <c r="N5" s="2297" t="s">
        <v>3087</v>
      </c>
      <c r="O5" s="2295" t="s">
        <v>1990</v>
      </c>
      <c r="P5" s="2298" t="s">
        <v>1991</v>
      </c>
      <c r="Q5" s="69" t="s">
        <v>1992</v>
      </c>
      <c r="R5" s="2299" t="s">
        <v>1993</v>
      </c>
      <c r="S5" s="2300" t="s">
        <v>1994</v>
      </c>
      <c r="T5" s="2301" t="s">
        <v>1995</v>
      </c>
      <c r="U5" s="1268" t="s">
        <v>1996</v>
      </c>
      <c r="V5" s="1269" t="s">
        <v>1997</v>
      </c>
      <c r="W5" s="1269" t="s">
        <v>1998</v>
      </c>
      <c r="X5" s="71"/>
      <c r="Y5" s="70" t="s">
        <v>1999</v>
      </c>
      <c r="Z5" s="2302" t="s">
        <v>1996</v>
      </c>
      <c r="AA5" s="1269" t="s">
        <v>1997</v>
      </c>
      <c r="AB5" s="1269" t="s">
        <v>1998</v>
      </c>
      <c r="AC5" s="71"/>
      <c r="AD5" s="71" t="s">
        <v>1999</v>
      </c>
      <c r="AE5" s="1268" t="s">
        <v>2000</v>
      </c>
      <c r="AF5" s="1269" t="s">
        <v>2001</v>
      </c>
      <c r="AG5" s="70" t="s">
        <v>2002</v>
      </c>
      <c r="AH5" s="1268" t="s">
        <v>2003</v>
      </c>
      <c r="AI5" s="2302" t="s">
        <v>2004</v>
      </c>
      <c r="AJ5" s="2302" t="s">
        <v>2005</v>
      </c>
      <c r="AK5" s="1269" t="s">
        <v>2006</v>
      </c>
      <c r="AL5" s="1269" t="s">
        <v>2007</v>
      </c>
      <c r="AM5" s="70" t="s">
        <v>2008</v>
      </c>
      <c r="AN5" s="2303" t="s">
        <v>2009</v>
      </c>
      <c r="AO5" s="2074" t="s">
        <v>2010</v>
      </c>
      <c r="AP5" s="1250"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1层商业</v>
      </c>
      <c r="B6" s="2306" t="str">
        <f>IF(A6=0,"","经营性")</f>
        <v>经营性</v>
      </c>
      <c r="C6" s="2307" t="s">
        <v>27</v>
      </c>
      <c r="D6" s="1052">
        <f>SUMIF(项目基本情况!D$12:I$12,C6,项目基本情况!D$14:I$14)</f>
        <v>50</v>
      </c>
      <c r="E6" s="1049">
        <f>IF(B6="","",SUMIF(项目基本情况!D$12:I$12,C6,项目基本情况!D$13:I$13))</f>
        <v>55285</v>
      </c>
      <c r="F6" s="72">
        <f>SUMIF(项目基本情况!D$12:I$12,C6,项目基本情况!D$15:I$15)</f>
        <v>32.369999999999997</v>
      </c>
      <c r="G6" s="73">
        <f>IF(ISERROR(ROUND(POWER(1+H6,D6-F6)*(POWER(1+H6,F6)-1)/(POWER(1+H6,D6)-1),3)),0,ROUND(POWER(1+H6,D6-F6)*(POWER(1+H6,F6)-1)/(POWER(1+H6,D6)-1),3))</f>
        <v>0.87</v>
      </c>
      <c r="H6" s="801">
        <v>0.05</v>
      </c>
      <c r="I6" s="801">
        <v>6.5000000000000002E-2</v>
      </c>
      <c r="J6" s="74">
        <v>8.5000000000000006E-2</v>
      </c>
      <c r="K6" s="1252">
        <f>SUMIF('数据-汇总表'!C$19:C$33,A6,'数据-汇总表'!E$19:E$33)</f>
        <v>5325.9400000000005</v>
      </c>
      <c r="L6" s="802">
        <v>7000</v>
      </c>
      <c r="M6" s="75">
        <f t="shared" ref="M6:M14" si="0">ROUND(K6*L6/10000,0)</f>
        <v>3728</v>
      </c>
      <c r="N6" s="800">
        <v>0.85</v>
      </c>
      <c r="O6" s="75" t="str">
        <f>IF($N$5="成新度","——",ROUND(M6*N6,0))</f>
        <v>——</v>
      </c>
      <c r="P6" s="76" t="str">
        <f>IF($N$5="成新度","——",M6-O6)</f>
        <v>——</v>
      </c>
      <c r="Q6" s="803">
        <v>0.25</v>
      </c>
      <c r="R6" s="77">
        <f ca="1">SUMIF('数据-汇总表'!C$19:C$33,A6,'数据-汇总表'!R$19:R$27)</f>
        <v>475.79</v>
      </c>
      <c r="S6" s="54">
        <f>IF('数据-汇总表'!$I$17="按面积比例",SUMIF('数据-汇总表'!C$19:C$33,A6,'数据-汇总表'!K$19:K$33),SUMIF('数据-汇总表'!C$19:C$33,A6,'数据-汇总表'!N$19:N$33))</f>
        <v>50.12</v>
      </c>
      <c r="T6" s="1444">
        <f>ROUND($L$14*S6/10000,0)</f>
        <v>13</v>
      </c>
      <c r="U6" s="78">
        <v>14</v>
      </c>
      <c r="V6" s="79">
        <v>0.03</v>
      </c>
      <c r="W6" s="79">
        <v>0.05</v>
      </c>
      <c r="X6" s="1262"/>
      <c r="Y6" s="80">
        <f>N6</f>
        <v>0.85</v>
      </c>
      <c r="Z6" s="81"/>
      <c r="AA6" s="74"/>
      <c r="AB6" s="74"/>
      <c r="AC6" s="1262"/>
      <c r="AD6" s="82"/>
      <c r="AE6" s="1263">
        <f ca="1">IF(AN6="",0,SUMIF(INDIRECT("'"&amp;AN6&amp;"'"&amp;"!E:E"),$AE$5,INDIRECT("'"&amp;AN6&amp;"'"&amp;"!F:F")))</f>
        <v>32.369999999999997</v>
      </c>
      <c r="AF6" s="1804"/>
      <c r="AG6" s="147">
        <f>IF(AF6="",0,AE6-AF6)</f>
        <v>0</v>
      </c>
      <c r="AH6" s="83"/>
      <c r="AI6" s="85">
        <v>365</v>
      </c>
      <c r="AJ6" s="86"/>
      <c r="AK6" s="87">
        <v>1.4999999999999999E-2</v>
      </c>
      <c r="AL6" s="88">
        <v>2E-3</v>
      </c>
      <c r="AM6" s="89">
        <v>0.02</v>
      </c>
      <c r="AN6" s="2308" t="s">
        <v>3098</v>
      </c>
      <c r="AO6" s="55">
        <f ca="1">SUMIF(INDIRECT("'"&amp;AN6&amp;"'"&amp;"!A:A"),"总价",INDIRECT("'"&amp;AN6&amp;"'"&amp;"!B:B"))</f>
        <v>37581</v>
      </c>
      <c r="AP6" s="2309">
        <f>IF(C6="住宅",K6*L6,0)</f>
        <v>0</v>
      </c>
      <c r="AQ6" s="55">
        <f>ROUND($L$14*$N$14*S6/10000,0)</f>
        <v>11</v>
      </c>
      <c r="AR6" s="55">
        <f>ROUND($L$14*(1-$N$14)*S6/10000,0)</f>
        <v>2</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办公</v>
      </c>
      <c r="B7" s="2306" t="str">
        <f t="shared" ref="B7:B13" si="1">IF(A7=0,"","经营性")</f>
        <v>经营性</v>
      </c>
      <c r="C7" s="2307" t="s">
        <v>27</v>
      </c>
      <c r="D7" s="1052">
        <f>SUMIF(项目基本情况!D$12:I$12,C7,项目基本情况!D$14:I$14)</f>
        <v>50</v>
      </c>
      <c r="E7" s="1049">
        <f>IF(B7="","",SUMIF(项目基本情况!D$12:I$12,C7,项目基本情况!D$13:I$13))</f>
        <v>55285</v>
      </c>
      <c r="F7" s="72">
        <f>SUMIF(项目基本情况!D$12:I$12,C7,项目基本情况!D$15:I$15)</f>
        <v>32.369999999999997</v>
      </c>
      <c r="G7" s="73">
        <f t="shared" ref="G7:G11" si="2">IF(ISERROR(ROUND(POWER(1+H7,D7-F7)*(POWER(1+H7,F7)-1)/(POWER(1+H7,D7)-1),3)),0,ROUND(POWER(1+H7,D7-F7)*(POWER(1+H7,F7)-1)/(POWER(1+H7,D7)-1),3))</f>
        <v>0.87</v>
      </c>
      <c r="H7" s="801">
        <v>0.05</v>
      </c>
      <c r="I7" s="801">
        <v>0.06</v>
      </c>
      <c r="J7" s="74">
        <v>8.5000000000000006E-2</v>
      </c>
      <c r="K7" s="1252">
        <f>SUMIF('数据-汇总表'!C$19:C$33,A7,'数据-汇总表'!E$19:E$33)</f>
        <v>95113.260000000009</v>
      </c>
      <c r="L7" s="802">
        <v>7000</v>
      </c>
      <c r="M7" s="75">
        <f t="shared" si="0"/>
        <v>66579</v>
      </c>
      <c r="N7" s="800">
        <f>N6</f>
        <v>0.85</v>
      </c>
      <c r="O7" s="75" t="str">
        <f t="shared" ref="O7:O14" si="3">IF($N$5="成新度","——",ROUND(M7*N7,0))</f>
        <v>——</v>
      </c>
      <c r="P7" s="76" t="str">
        <f t="shared" ref="P7:P14" si="4">IF($N$5="成新度","——",M7-O7)</f>
        <v>——</v>
      </c>
      <c r="Q7" s="803">
        <v>0.2</v>
      </c>
      <c r="R7" s="77">
        <f ca="1">SUMIF('数据-汇总表'!C$19:C$33,A7,'数据-汇总表'!R$19:R$27)</f>
        <v>8496.75</v>
      </c>
      <c r="S7" s="54">
        <f>IF('数据-汇总表'!$I$17="按面积比例",SUMIF('数据-汇总表'!C$19:C$33,A7,'数据-汇总表'!K$19:K$33),SUMIF('数据-汇总表'!C$19:C$33,A7,'数据-汇总表'!N$19:N$33))</f>
        <v>894.99</v>
      </c>
      <c r="T7" s="1444">
        <f t="shared" ref="T7:T13" si="5">ROUND($L$14*S7/10000,0)</f>
        <v>224</v>
      </c>
      <c r="U7" s="2976">
        <v>13</v>
      </c>
      <c r="V7" s="79">
        <v>0.03</v>
      </c>
      <c r="W7" s="79">
        <v>0.1</v>
      </c>
      <c r="X7" s="1262"/>
      <c r="Y7" s="80">
        <f>Y6</f>
        <v>0.85</v>
      </c>
      <c r="Z7" s="81"/>
      <c r="AA7" s="74"/>
      <c r="AB7" s="74"/>
      <c r="AC7" s="1262"/>
      <c r="AD7" s="82"/>
      <c r="AE7" s="1263">
        <f t="shared" ref="AE7:AE13" ca="1" si="6">IF(AN7="",0,SUMIF(INDIRECT("'"&amp;AN7&amp;"'"&amp;"!E:E"),$AE$5,INDIRECT("'"&amp;AN7&amp;"'"&amp;"!F:F")))</f>
        <v>32.369999999999997</v>
      </c>
      <c r="AF7" s="1804"/>
      <c r="AG7" s="147">
        <f t="shared" ref="AG7:AG13" si="7">IF(AF7="",0,AE7-AF7)</f>
        <v>0</v>
      </c>
      <c r="AH7" s="83"/>
      <c r="AI7" s="85">
        <v>365</v>
      </c>
      <c r="AJ7" s="86"/>
      <c r="AK7" s="87">
        <v>1.4999999999999999E-2</v>
      </c>
      <c r="AL7" s="88">
        <v>2E-3</v>
      </c>
      <c r="AM7" s="89">
        <v>0.02</v>
      </c>
      <c r="AN7" s="2308" t="s">
        <v>3094</v>
      </c>
      <c r="AO7" s="55">
        <f t="shared" ref="AO7:AO13" ca="1" si="8">SUMIF(INDIRECT("'"&amp;AN7&amp;"'"&amp;"!A:A"),"总价",INDIRECT("'"&amp;AN7&amp;"'"&amp;"!B:B"))</f>
        <v>628024</v>
      </c>
      <c r="AP7" s="2309">
        <f t="shared" ref="AP7:AP13" si="9">IF(C7="住宅",K7*L7,0)</f>
        <v>0</v>
      </c>
      <c r="AQ7" s="55">
        <f t="shared" ref="AQ7:AQ13" si="10">ROUND($L$14*$N$14*S7/10000,0)</f>
        <v>190</v>
      </c>
      <c r="AR7" s="55">
        <f t="shared" ref="AR7:AR13" si="11">ROUND($L$14*(1-$N$14)*S7/10000,0)</f>
        <v>34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地下车库</v>
      </c>
      <c r="B8" s="2306" t="str">
        <f t="shared" si="1"/>
        <v>经营性</v>
      </c>
      <c r="C8" s="2307" t="s">
        <v>3070</v>
      </c>
      <c r="D8" s="1052">
        <f>SUMIF(项目基本情况!D$12:I$12,C8,项目基本情况!D$14:I$14)</f>
        <v>50</v>
      </c>
      <c r="E8" s="1049">
        <f>IF(B8="","",SUMIF(项目基本情况!D$12:I$12,C8,项目基本情况!D$13:I$13))</f>
        <v>55285</v>
      </c>
      <c r="F8" s="72">
        <f>SUMIF(项目基本情况!D$12:I$12,C8,项目基本情况!D$15:I$15)</f>
        <v>32.369999999999997</v>
      </c>
      <c r="G8" s="73">
        <f t="shared" si="2"/>
        <v>0.85399999999999998</v>
      </c>
      <c r="H8" s="801">
        <v>4.4999999999999998E-2</v>
      </c>
      <c r="I8" s="801">
        <v>0.05</v>
      </c>
      <c r="J8" s="74">
        <v>8.5000000000000006E-2</v>
      </c>
      <c r="K8" s="1252">
        <f>SUMIF('数据-汇总表'!C$19:C$33,A8,'数据-汇总表'!E$19:E$33)</f>
        <v>32281.690000000002</v>
      </c>
      <c r="L8" s="802">
        <v>2500</v>
      </c>
      <c r="M8" s="75">
        <f>ROUND(K8*L8/10000,0)</f>
        <v>8070</v>
      </c>
      <c r="N8" s="800">
        <f>N6</f>
        <v>0.85</v>
      </c>
      <c r="O8" s="75" t="str">
        <f t="shared" si="3"/>
        <v>——</v>
      </c>
      <c r="P8" s="76" t="str">
        <f t="shared" si="4"/>
        <v>——</v>
      </c>
      <c r="Q8" s="803">
        <v>0.05</v>
      </c>
      <c r="R8" s="77">
        <f ca="1">SUMIF('数据-汇总表'!C$19:C$33,A8,'数据-汇总表'!R$19:R$27)</f>
        <v>2883.81</v>
      </c>
      <c r="S8" s="54">
        <f>IF('数据-汇总表'!$I$17="按面积比例",SUMIF('数据-汇总表'!C$19:C$33,A8,'数据-汇总表'!K$19:K$33),SUMIF('数据-汇总表'!C$19:C$33,A8,'数据-汇总表'!N$19:N$33))</f>
        <v>303.76</v>
      </c>
      <c r="T8" s="1444">
        <f t="shared" si="5"/>
        <v>76</v>
      </c>
      <c r="U8" s="2977">
        <v>1800</v>
      </c>
      <c r="V8" s="804">
        <v>2.5000000000000001E-2</v>
      </c>
      <c r="W8" s="804">
        <v>0.1</v>
      </c>
      <c r="X8" s="1262"/>
      <c r="Y8" s="805">
        <f>Y6</f>
        <v>0.85</v>
      </c>
      <c r="Z8" s="81"/>
      <c r="AA8" s="74"/>
      <c r="AB8" s="74"/>
      <c r="AC8" s="1262"/>
      <c r="AD8" s="82"/>
      <c r="AE8" s="1263">
        <f t="shared" ca="1" si="6"/>
        <v>32.369999999999997</v>
      </c>
      <c r="AF8" s="1804"/>
      <c r="AG8" s="147">
        <f t="shared" si="7"/>
        <v>0</v>
      </c>
      <c r="AH8" s="806">
        <v>932</v>
      </c>
      <c r="AI8" s="85">
        <v>12</v>
      </c>
      <c r="AJ8" s="86"/>
      <c r="AK8" s="807">
        <v>1.4999999999999999E-2</v>
      </c>
      <c r="AL8" s="808">
        <v>1.5E-3</v>
      </c>
      <c r="AM8" s="809">
        <v>1.4999999999999999E-2</v>
      </c>
      <c r="AN8" s="2308" t="s">
        <v>3096</v>
      </c>
      <c r="AO8" s="55">
        <f t="shared" ca="1" si="8"/>
        <v>27795</v>
      </c>
      <c r="AP8" s="2309">
        <f t="shared" si="9"/>
        <v>0</v>
      </c>
      <c r="AQ8" s="55">
        <f t="shared" si="10"/>
        <v>65</v>
      </c>
      <c r="AR8" s="55">
        <f t="shared" si="11"/>
        <v>11</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t="str">
        <f>'数据-汇总表'!C22</f>
        <v>地下商业</v>
      </c>
      <c r="B9" s="2306" t="str">
        <f t="shared" si="1"/>
        <v>经营性</v>
      </c>
      <c r="C9" s="2307" t="s">
        <v>27</v>
      </c>
      <c r="D9" s="1052">
        <f>SUMIF(项目基本情况!D$12:I$12,C9,项目基本情况!D$14:I$14)</f>
        <v>50</v>
      </c>
      <c r="E9" s="1049">
        <f>IF(B9="","",SUMIF(项目基本情况!D$12:I$12,C9,项目基本情况!D$13:I$13))</f>
        <v>55285</v>
      </c>
      <c r="F9" s="72">
        <f>SUMIF(项目基本情况!D$12:I$12,C9,项目基本情况!D$15:I$15)</f>
        <v>32.369999999999997</v>
      </c>
      <c r="G9" s="73">
        <f t="shared" si="2"/>
        <v>0.87</v>
      </c>
      <c r="H9" s="74">
        <v>0.05</v>
      </c>
      <c r="I9" s="74">
        <v>6.5000000000000002E-2</v>
      </c>
      <c r="J9" s="74">
        <v>8.5000000000000006E-2</v>
      </c>
      <c r="K9" s="1252">
        <f>SUMIF('数据-汇总表'!C$19:C$33,A9,'数据-汇总表'!E$19:E$33)</f>
        <v>31910.54</v>
      </c>
      <c r="L9" s="802">
        <v>4000</v>
      </c>
      <c r="M9" s="75">
        <f t="shared" si="0"/>
        <v>12764</v>
      </c>
      <c r="N9" s="800">
        <f>N6</f>
        <v>0.85</v>
      </c>
      <c r="O9" s="75" t="str">
        <f t="shared" si="3"/>
        <v>——</v>
      </c>
      <c r="P9" s="76" t="str">
        <f t="shared" si="4"/>
        <v>——</v>
      </c>
      <c r="Q9" s="90">
        <v>0.15</v>
      </c>
      <c r="R9" s="77">
        <f ca="1">SUMIF('数据-汇总表'!C$19:C$33,A9,'数据-汇总表'!R$19:R$27)</f>
        <v>2850.6600000000003</v>
      </c>
      <c r="S9" s="54">
        <f>IF('数据-汇总表'!$I$17="按面积比例",SUMIF('数据-汇总表'!C$19:C$33,A9,'数据-汇总表'!K$19:K$33),SUMIF('数据-汇总表'!C$19:C$33,A9,'数据-汇总表'!N$19:N$33))</f>
        <v>300.27</v>
      </c>
      <c r="T9" s="1444">
        <f t="shared" si="5"/>
        <v>75</v>
      </c>
      <c r="U9" s="78">
        <f>U6*0.4</f>
        <v>5.6000000000000005</v>
      </c>
      <c r="V9" s="79">
        <v>2.5000000000000001E-2</v>
      </c>
      <c r="W9" s="79">
        <v>0.1</v>
      </c>
      <c r="X9" s="1262"/>
      <c r="Y9" s="80">
        <f>Y6</f>
        <v>0.85</v>
      </c>
      <c r="Z9" s="81"/>
      <c r="AA9" s="74"/>
      <c r="AB9" s="74"/>
      <c r="AC9" s="1262"/>
      <c r="AD9" s="82"/>
      <c r="AE9" s="1263">
        <f t="shared" ca="1" si="6"/>
        <v>32.369999999999997</v>
      </c>
      <c r="AF9" s="1804"/>
      <c r="AG9" s="147">
        <f t="shared" si="7"/>
        <v>0</v>
      </c>
      <c r="AH9" s="83"/>
      <c r="AI9" s="85">
        <v>365</v>
      </c>
      <c r="AJ9" s="86"/>
      <c r="AK9" s="87">
        <v>1.4999999999999999E-2</v>
      </c>
      <c r="AL9" s="88">
        <v>2E-3</v>
      </c>
      <c r="AM9" s="89">
        <v>0.02</v>
      </c>
      <c r="AN9" s="2308" t="s">
        <v>3092</v>
      </c>
      <c r="AO9" s="55">
        <f t="shared" ca="1" si="8"/>
        <v>78551</v>
      </c>
      <c r="AP9" s="2309">
        <f t="shared" si="9"/>
        <v>0</v>
      </c>
      <c r="AQ9" s="55">
        <f t="shared" si="10"/>
        <v>64</v>
      </c>
      <c r="AR9" s="55">
        <f t="shared" si="11"/>
        <v>11</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2"/>
      <c r="E14" s="1049"/>
      <c r="F14" s="72"/>
      <c r="G14" s="73"/>
      <c r="H14" s="1251"/>
      <c r="I14" s="1251"/>
      <c r="J14" s="1251"/>
      <c r="K14" s="1252">
        <f>SUMIF('数据-汇总表'!C$19:C$33,A14,'数据-汇总表'!E$19:E$33)</f>
        <v>1549.13</v>
      </c>
      <c r="L14" s="91">
        <v>2500</v>
      </c>
      <c r="M14" s="75">
        <f t="shared" si="0"/>
        <v>387</v>
      </c>
      <c r="N14" s="92">
        <f>N6</f>
        <v>0.85</v>
      </c>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7"/>
      <c r="C16" s="1006"/>
      <c r="D16" s="2313"/>
      <c r="E16" s="97"/>
      <c r="F16" s="97"/>
      <c r="G16" s="98">
        <f>ROUND(SUMPRODUCT(G6:G13,K6:K13)/SUMPRODUCT((G6:G13&gt;0)*(K6:K13)),3)</f>
        <v>0.86699999999999999</v>
      </c>
      <c r="H16" s="99">
        <f>ROUND(SUMPRODUCT(H6:H13,K6:K13)/SUMPRODUCT((H6:H13&gt;0)*(K6:K13)),3)</f>
        <v>4.9000000000000002E-2</v>
      </c>
      <c r="I16" s="100"/>
      <c r="J16" s="100"/>
      <c r="K16" s="101">
        <f>SUM(K6:K15)</f>
        <v>166180.56000000003</v>
      </c>
      <c r="L16" s="102">
        <f>ROUND(M16*10000/SUM(K6:K14),0)</f>
        <v>5508</v>
      </c>
      <c r="M16" s="102">
        <f>SUM(M6:M14)</f>
        <v>91528</v>
      </c>
      <c r="N16" s="103">
        <f>ROUND(SUMPRODUCT(M6:M14,N6:N14)/M16,3)</f>
        <v>0.85</v>
      </c>
      <c r="O16" s="102">
        <f>SUM(O6:O14)</f>
        <v>0</v>
      </c>
      <c r="P16" s="102">
        <f>SUM(P6:P14)</f>
        <v>0</v>
      </c>
      <c r="Q16" s="104">
        <f>ROUND(SUMPRODUCT(Q6:Q13,K6:K13)/SUMPRODUCT((Q6:Q13&gt;0)*(K6:K13)),2)</f>
        <v>0.16</v>
      </c>
      <c r="R16" s="1256">
        <f ca="1">SUM(R6:R13)</f>
        <v>14707.01</v>
      </c>
      <c r="S16" s="105">
        <f>SUM(S6:S13)</f>
        <v>1549.1399999999999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2020</v>
      </c>
      <c r="B19" s="112">
        <v>0</v>
      </c>
      <c r="C19" s="2276" t="s">
        <v>2021</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2022</v>
      </c>
      <c r="B20" s="113">
        <v>2</v>
      </c>
      <c r="C20" s="2276" t="s">
        <v>2023</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2024</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2025</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2026</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2027</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2028</v>
      </c>
      <c r="B26" s="2319" t="s">
        <v>2029</v>
      </c>
      <c r="C26" s="2320" t="s">
        <v>2030</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2031</v>
      </c>
      <c r="B27" s="116">
        <v>160</v>
      </c>
      <c r="C27" s="1764" t="s">
        <v>2032</v>
      </c>
      <c r="D27" s="2322"/>
      <c r="E27" s="1428"/>
      <c r="F27" s="1428"/>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2033</v>
      </c>
      <c r="B28" s="119">
        <v>200</v>
      </c>
      <c r="C28" s="2325"/>
      <c r="D28" s="2322"/>
      <c r="E28" s="1428"/>
      <c r="F28" s="1428"/>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2034</v>
      </c>
      <c r="B29" s="121"/>
      <c r="C29" s="1764" t="s">
        <v>2035</v>
      </c>
      <c r="D29" s="2322"/>
      <c r="E29" s="1428"/>
      <c r="F29" s="1428"/>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2036</v>
      </c>
      <c r="B30" s="723">
        <v>200</v>
      </c>
      <c r="C30" s="2325"/>
      <c r="D30" s="2322"/>
      <c r="E30" s="1428"/>
      <c r="F30" s="1428"/>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2037</v>
      </c>
      <c r="B31" s="120">
        <f>B30-B32</f>
        <v>200</v>
      </c>
      <c r="C31" s="1764"/>
      <c r="D31" s="2322"/>
      <c r="E31" s="1428"/>
      <c r="F31" s="1428"/>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2038</v>
      </c>
      <c r="B32" s="724">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2039</v>
      </c>
      <c r="B33" s="725">
        <v>0.03</v>
      </c>
      <c r="C33" s="1763" t="s">
        <v>2040</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2041</v>
      </c>
      <c r="B34" s="122">
        <v>0</v>
      </c>
      <c r="C34" s="1763" t="s">
        <v>2042</v>
      </c>
      <c r="D34" s="2277" t="s">
        <v>2043</v>
      </c>
      <c r="E34" s="731"/>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2044</v>
      </c>
      <c r="B35" s="119">
        <v>200</v>
      </c>
      <c r="C35" s="1763" t="s">
        <v>2045</v>
      </c>
      <c r="D35" s="2322"/>
      <c r="E35" s="1428"/>
      <c r="F35" s="1428"/>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2046</v>
      </c>
      <c r="B36" s="123">
        <v>1.4999999999999999E-2</v>
      </c>
      <c r="C36" s="1763" t="s">
        <v>2047</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2048</v>
      </c>
      <c r="B37" s="124">
        <v>0.02</v>
      </c>
      <c r="C37" s="1763" t="s">
        <v>2049</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2050</v>
      </c>
      <c r="B38" s="122">
        <v>0.02</v>
      </c>
      <c r="C38" s="1763" t="s">
        <v>2049</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2051</v>
      </c>
      <c r="B39" s="361">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2052</v>
      </c>
      <c r="B40" s="1301">
        <f ca="1">存贷款利率!G1</f>
        <v>4.7500000000000001E-2</v>
      </c>
      <c r="C40" s="1763" t="s">
        <v>2053</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2054</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2055</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2056</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2057</v>
      </c>
      <c r="B44" s="128">
        <v>7.0000000000000007E-2</v>
      </c>
      <c r="C44" s="1763" t="s">
        <v>2058</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2059</v>
      </c>
      <c r="B45" s="126">
        <v>0.03</v>
      </c>
      <c r="C45" s="1764" t="s">
        <v>2060</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2061</v>
      </c>
      <c r="B46" s="126">
        <v>0.02</v>
      </c>
      <c r="C46" s="1764" t="s">
        <v>2062</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2063</v>
      </c>
      <c r="B47" s="129">
        <v>0</v>
      </c>
      <c r="C47" s="1764" t="s">
        <v>2064</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2065</v>
      </c>
      <c r="B48" s="130">
        <v>0.03</v>
      </c>
      <c r="C48" s="1771" t="s">
        <v>2066</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2067</v>
      </c>
      <c r="B49" s="126">
        <v>5.0000000000000001E-4</v>
      </c>
      <c r="C49" s="1771" t="s">
        <v>2068</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2069</v>
      </c>
      <c r="B50" s="131">
        <v>1.2E-2</v>
      </c>
      <c r="C50" s="1428"/>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2070</v>
      </c>
      <c r="B51" s="132">
        <v>0.12</v>
      </c>
      <c r="C51" s="1428"/>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2071</v>
      </c>
      <c r="B52" s="133">
        <f>SUMIF(A54:A63,B53,B54:B63)</f>
        <v>24</v>
      </c>
      <c r="C52" s="1428"/>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2072</v>
      </c>
      <c r="B53" s="2335" t="s">
        <v>269</v>
      </c>
      <c r="C53" s="1428" t="s">
        <v>2073</v>
      </c>
      <c r="D53" s="2336" t="s">
        <v>2074</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2075</v>
      </c>
      <c r="B54" s="84">
        <f>C54</f>
        <v>30</v>
      </c>
      <c r="C54" s="1428">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2076</v>
      </c>
      <c r="B55" s="84">
        <f t="shared" ref="B55:B59" si="12">C55</f>
        <v>24</v>
      </c>
      <c r="C55" s="1428">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2077</v>
      </c>
      <c r="B56" s="84">
        <f t="shared" si="12"/>
        <v>18</v>
      </c>
      <c r="C56" s="1428">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2078</v>
      </c>
      <c r="B57" s="84">
        <f t="shared" si="12"/>
        <v>12</v>
      </c>
      <c r="C57" s="1428">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2079</v>
      </c>
      <c r="B58" s="84">
        <f t="shared" si="12"/>
        <v>3</v>
      </c>
      <c r="C58" s="1428">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2080</v>
      </c>
      <c r="B59" s="84">
        <f t="shared" si="12"/>
        <v>1.5</v>
      </c>
      <c r="C59" s="1428">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2081</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2082</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2083</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2084</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0" t="s">
        <v>2085</v>
      </c>
      <c r="B1" s="3081"/>
      <c r="C1" s="3081"/>
      <c r="D1" s="3081"/>
      <c r="E1" s="3081"/>
      <c r="F1" s="3081"/>
      <c r="G1" s="308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4" t="s">
        <v>2088</v>
      </c>
      <c r="B3" s="1269" t="s">
        <v>2089</v>
      </c>
      <c r="C3" s="2369" t="s">
        <v>2090</v>
      </c>
      <c r="D3" s="2370"/>
      <c r="E3" s="430" t="s">
        <v>2088</v>
      </c>
      <c r="F3" s="2371" t="s">
        <v>2091</v>
      </c>
      <c r="G3" s="2372" t="s">
        <v>2092</v>
      </c>
      <c r="H3" s="2367"/>
      <c r="I3" s="2367"/>
      <c r="J3" s="2367"/>
      <c r="K3" s="2367"/>
      <c r="L3" s="2367"/>
      <c r="M3" s="2367"/>
      <c r="N3" s="2367"/>
      <c r="O3" s="2367"/>
      <c r="P3" s="2367"/>
      <c r="Q3" s="2367"/>
      <c r="R3" s="2367"/>
    </row>
    <row r="4" spans="1:29" ht="41.25">
      <c r="A4" s="430"/>
      <c r="B4" s="1795" t="s">
        <v>2093</v>
      </c>
      <c r="C4" s="2373" t="s">
        <v>2094</v>
      </c>
      <c r="D4" s="2370"/>
      <c r="E4" s="2374"/>
      <c r="F4" s="42" t="s">
        <v>2095</v>
      </c>
      <c r="G4" s="2375" t="s">
        <v>2096</v>
      </c>
      <c r="H4" s="2367"/>
      <c r="I4" s="2367"/>
      <c r="J4" s="2367"/>
      <c r="K4" s="2367"/>
      <c r="L4" s="2367"/>
      <c r="M4" s="2367"/>
      <c r="N4" s="2367"/>
      <c r="O4" s="2367"/>
      <c r="P4" s="2367"/>
      <c r="Q4" s="2367"/>
      <c r="R4" s="2367"/>
    </row>
    <row r="5" spans="1:29" ht="41.25">
      <c r="A5" s="430"/>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0"/>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0"/>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0"/>
      <c r="B8" s="1795" t="s">
        <v>2102</v>
      </c>
      <c r="C8" s="2375" t="s">
        <v>2103</v>
      </c>
      <c r="D8" s="2376"/>
      <c r="E8" s="2376"/>
      <c r="F8" s="1134"/>
      <c r="G8" s="1134"/>
      <c r="H8" s="2367"/>
      <c r="I8" s="2367"/>
      <c r="J8" s="2367"/>
      <c r="K8" s="2367"/>
      <c r="L8" s="2367"/>
      <c r="M8" s="2367"/>
      <c r="N8" s="2367"/>
      <c r="O8" s="2367"/>
      <c r="P8" s="2367"/>
      <c r="Q8" s="2367"/>
      <c r="R8" s="2367"/>
    </row>
    <row r="9" spans="1:29" ht="27">
      <c r="A9" s="430"/>
      <c r="B9" s="1795" t="s">
        <v>2106</v>
      </c>
      <c r="C9" s="2373" t="s">
        <v>2107</v>
      </c>
      <c r="D9" s="2370"/>
      <c r="E9" s="2376"/>
      <c r="F9" s="1134"/>
      <c r="G9" s="1134"/>
      <c r="H9" s="2367"/>
      <c r="I9" s="2367"/>
      <c r="J9" s="2367"/>
      <c r="K9" s="2367"/>
      <c r="L9" s="2367"/>
      <c r="M9" s="2367"/>
      <c r="N9" s="2367"/>
      <c r="O9" s="2367"/>
      <c r="P9" s="2367"/>
      <c r="Q9" s="2367"/>
      <c r="R9" s="2367"/>
    </row>
    <row r="10" spans="1:29" s="117" customFormat="1" ht="15.75" thickBot="1">
      <c r="A10" s="2380"/>
      <c r="B10" s="2381" t="s">
        <v>2108</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8" t="s">
        <v>2089</v>
      </c>
      <c r="C15" s="2402" t="str">
        <f>C3</f>
        <v>估价对象周边居住用地比例、居住小区规模和社区发展完善程度，综合评价居住社区成熟度一般</v>
      </c>
      <c r="D15" s="2370"/>
      <c r="E15" s="2403" t="s">
        <v>2113</v>
      </c>
      <c r="F15" s="1268" t="s">
        <v>2114</v>
      </c>
      <c r="G15" s="135"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70"/>
    </row>
    <row r="18" spans="1:18" ht="57">
      <c r="A18" s="644"/>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4"/>
      <c r="B19" s="2407" t="s">
        <v>2116</v>
      </c>
      <c r="C19" s="1570"/>
      <c r="D19" s="2370"/>
      <c r="E19" s="2406"/>
      <c r="F19" s="1795" t="s">
        <v>2099</v>
      </c>
      <c r="G19" s="136"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6" t="str">
        <f>G6</f>
        <v>估价对象所在区域基础设施水平</v>
      </c>
    </row>
    <row r="21" spans="1:18" ht="28.5">
      <c r="A21" s="644"/>
      <c r="B21" s="1795" t="s">
        <v>2099</v>
      </c>
      <c r="C21" s="136" t="str">
        <f>C7</f>
        <v>估价对象所在区域公共配套设施齐备情况</v>
      </c>
      <c r="D21" s="2370"/>
      <c r="E21" s="2406"/>
      <c r="F21" s="2407" t="s">
        <v>2119</v>
      </c>
      <c r="G21" s="2408"/>
    </row>
    <row r="22" spans="1:18" ht="13.5" customHeight="1">
      <c r="A22" s="644"/>
      <c r="B22" s="1795" t="s">
        <v>2102</v>
      </c>
      <c r="C22" s="136" t="str">
        <f>C8</f>
        <v>估价对象所在区域基础设施水平</v>
      </c>
      <c r="D22" s="2370"/>
      <c r="E22" s="2406"/>
      <c r="F22" s="2407" t="s">
        <v>2108</v>
      </c>
      <c r="G22" s="1570"/>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166180.56000000003</v>
      </c>
      <c r="C1" s="1742"/>
      <c r="D1" s="1742"/>
      <c r="E1" s="1742"/>
      <c r="F1" s="1742"/>
      <c r="G1" s="1740"/>
    </row>
    <row r="2" spans="1:10" ht="16.5">
      <c r="A2" s="1743" t="s">
        <v>1353</v>
      </c>
      <c r="B2" s="1743">
        <f>SUM(C14:C23)</f>
        <v>14707</v>
      </c>
      <c r="C2" s="1742"/>
      <c r="D2" s="1742"/>
      <c r="E2" s="1742"/>
      <c r="F2" s="1742"/>
      <c r="G2" s="1740"/>
    </row>
    <row r="3" spans="1:10" ht="16.5">
      <c r="A3" s="1743" t="s">
        <v>1362</v>
      </c>
      <c r="B3" s="1744">
        <f>项目基本情况!D3</f>
        <v>43468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855718</v>
      </c>
      <c r="C5" s="1743">
        <f ca="1">ROUND(B5*10000/$B$1,0)</f>
        <v>51493</v>
      </c>
      <c r="D5" s="1743">
        <f ca="1">ROUND(B5*10000/$B$2,0)</f>
        <v>581844</v>
      </c>
      <c r="E5" s="1742"/>
      <c r="F5" s="1740"/>
      <c r="G5" s="1740"/>
    </row>
    <row r="6" spans="1:10" ht="16.5">
      <c r="A6" s="1743" t="s">
        <v>1356</v>
      </c>
      <c r="B6" s="1743">
        <f ca="1">SUM(G14:G23)</f>
        <v>855718</v>
      </c>
      <c r="C6" s="1743">
        <f ca="1">ROUND(B6*10000/$B$1,0)</f>
        <v>51493</v>
      </c>
      <c r="D6" s="1743">
        <f ca="1">ROUND(B6*10000/$B$2,0)</f>
        <v>581844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166180.56000000003</v>
      </c>
      <c r="C14" s="1741">
        <f>结果表!C118</f>
        <v>14707</v>
      </c>
      <c r="D14" s="1741">
        <f ca="1">结果表!H118</f>
        <v>855718</v>
      </c>
      <c r="E14" s="1741">
        <f ca="1">ROUND(D14*10000/B14,0)</f>
        <v>51493</v>
      </c>
      <c r="F14" s="1741">
        <f ca="1">ROUND(D14*10000/C14,0)</f>
        <v>581844</v>
      </c>
      <c r="G14" s="1741">
        <f ca="1">结果表!D122</f>
        <v>855718</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2122</v>
      </c>
      <c r="B1" s="2418"/>
      <c r="C1" s="2419"/>
      <c r="D1" s="2418"/>
      <c r="E1" s="2418"/>
      <c r="F1" s="2420" t="s">
        <v>2123</v>
      </c>
      <c r="G1" s="2070" t="s">
        <v>3053</v>
      </c>
      <c r="H1" s="2421" t="str">
        <f>IF(G1="现房","——","估价对象范围")</f>
        <v>——</v>
      </c>
      <c r="I1" s="2422" t="s">
        <v>3079</v>
      </c>
    </row>
    <row r="2" spans="1:12" ht="21.75" customHeight="1" thickBot="1">
      <c r="A2" s="3115" t="str">
        <f>项目基本情况!S2</f>
        <v>北京市房地产</v>
      </c>
      <c r="B2" s="3116"/>
      <c r="C2" s="3116"/>
      <c r="D2" s="3116"/>
      <c r="E2" s="3116"/>
      <c r="F2" s="3116"/>
      <c r="G2" s="3116"/>
      <c r="H2" s="3116"/>
      <c r="I2" s="3117"/>
    </row>
    <row r="3" spans="1:12" ht="12.75">
      <c r="A3" s="3119" t="s">
        <v>2124</v>
      </c>
      <c r="B3" s="3120"/>
      <c r="C3" s="3120"/>
      <c r="D3" s="3120"/>
      <c r="E3" s="3120"/>
      <c r="F3" s="3120"/>
      <c r="G3" s="3120"/>
      <c r="H3" s="3120"/>
      <c r="I3" s="3120"/>
    </row>
    <row r="4" spans="1:12" ht="14.25">
      <c r="A4" s="2425" t="s">
        <v>2125</v>
      </c>
      <c r="B4" s="2426" t="s">
        <v>2126</v>
      </c>
      <c r="C4" s="2427" t="s">
        <v>3080</v>
      </c>
      <c r="D4" s="2427" t="s">
        <v>3100</v>
      </c>
      <c r="E4" s="3112" t="s">
        <v>2127</v>
      </c>
      <c r="F4" s="3113"/>
      <c r="G4" s="3113"/>
      <c r="H4" s="3113"/>
      <c r="I4" s="3121"/>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2128</v>
      </c>
      <c r="B5" s="3033">
        <v>25</v>
      </c>
      <c r="C5" s="3098"/>
      <c r="D5" s="3118"/>
      <c r="E5" s="140" t="s">
        <v>2129</v>
      </c>
      <c r="F5" s="2429"/>
      <c r="G5" s="2429"/>
      <c r="H5" s="2429"/>
      <c r="I5" s="1831"/>
    </row>
    <row r="6" spans="1:12" ht="12.75">
      <c r="A6" s="3095"/>
      <c r="B6" s="3033"/>
      <c r="C6" s="3099"/>
      <c r="D6" s="3118"/>
      <c r="E6" s="140" t="s">
        <v>2130</v>
      </c>
      <c r="F6" s="2429"/>
      <c r="G6" s="2429"/>
      <c r="H6" s="2429"/>
      <c r="I6" s="1831"/>
    </row>
    <row r="7" spans="1:12" ht="12.75">
      <c r="A7" s="3095"/>
      <c r="B7" s="3033"/>
      <c r="C7" s="3100"/>
      <c r="D7" s="3118"/>
      <c r="E7" s="140" t="s">
        <v>2131</v>
      </c>
      <c r="F7" s="2429"/>
      <c r="G7" s="2429"/>
      <c r="H7" s="2429"/>
      <c r="I7" s="1831"/>
    </row>
    <row r="8" spans="1:12" ht="12.75">
      <c r="A8" s="3095" t="s">
        <v>2132</v>
      </c>
      <c r="B8" s="3033">
        <v>15</v>
      </c>
      <c r="C8" s="3098"/>
      <c r="D8" s="3118"/>
      <c r="E8" s="140" t="s">
        <v>2133</v>
      </c>
      <c r="F8" s="2429"/>
      <c r="G8" s="2429"/>
      <c r="H8" s="2429"/>
      <c r="I8" s="1831"/>
    </row>
    <row r="9" spans="1:12" ht="12.75">
      <c r="A9" s="3095"/>
      <c r="B9" s="3033"/>
      <c r="C9" s="3100"/>
      <c r="D9" s="3118"/>
      <c r="E9" s="140" t="s">
        <v>2134</v>
      </c>
      <c r="F9" s="2429"/>
      <c r="G9" s="2429"/>
      <c r="H9" s="2429"/>
      <c r="I9" s="1831"/>
    </row>
    <row r="10" spans="1:12" ht="12.75">
      <c r="A10" s="3095" t="s">
        <v>2135</v>
      </c>
      <c r="B10" s="3033">
        <v>15</v>
      </c>
      <c r="C10" s="3098"/>
      <c r="D10" s="3118"/>
      <c r="E10" s="140" t="s">
        <v>2136</v>
      </c>
      <c r="F10" s="2429"/>
      <c r="G10" s="2429"/>
      <c r="H10" s="2429"/>
      <c r="I10" s="1831"/>
    </row>
    <row r="11" spans="1:12" ht="12.75">
      <c r="A11" s="3095"/>
      <c r="B11" s="3033"/>
      <c r="C11" s="3100"/>
      <c r="D11" s="3118"/>
      <c r="E11" s="140" t="s">
        <v>2137</v>
      </c>
      <c r="F11" s="2429"/>
      <c r="G11" s="2429"/>
      <c r="H11" s="2429"/>
      <c r="I11" s="1831"/>
    </row>
    <row r="12" spans="1:12" ht="12.75">
      <c r="A12" s="3095" t="s">
        <v>2138</v>
      </c>
      <c r="B12" s="3033">
        <v>15</v>
      </c>
      <c r="C12" s="3098"/>
      <c r="D12" s="3118"/>
      <c r="E12" s="140" t="s">
        <v>2139</v>
      </c>
      <c r="F12" s="2429"/>
      <c r="G12" s="2429"/>
      <c r="H12" s="2429"/>
      <c r="I12" s="1831"/>
    </row>
    <row r="13" spans="1:12" ht="12.75">
      <c r="A13" s="3095"/>
      <c r="B13" s="3033"/>
      <c r="C13" s="3100"/>
      <c r="D13" s="3118"/>
      <c r="E13" s="140" t="s">
        <v>2140</v>
      </c>
      <c r="F13" s="2429"/>
      <c r="G13" s="2429"/>
      <c r="H13" s="2429"/>
      <c r="I13" s="1831"/>
    </row>
    <row r="14" spans="1:12" ht="12.75">
      <c r="A14" s="3095" t="s">
        <v>2141</v>
      </c>
      <c r="B14" s="3033">
        <v>30</v>
      </c>
      <c r="C14" s="3098">
        <v>5</v>
      </c>
      <c r="D14" s="3118">
        <v>5</v>
      </c>
      <c r="E14" s="140" t="s">
        <v>2142</v>
      </c>
      <c r="F14" s="2429"/>
      <c r="G14" s="2429"/>
      <c r="H14" s="2429"/>
      <c r="I14" s="1831"/>
    </row>
    <row r="15" spans="1:12" ht="12.75">
      <c r="A15" s="3095"/>
      <c r="B15" s="3033"/>
      <c r="C15" s="3099"/>
      <c r="D15" s="3118"/>
      <c r="E15" s="140" t="s">
        <v>2143</v>
      </c>
      <c r="F15" s="2429"/>
      <c r="G15" s="2429"/>
      <c r="H15" s="2429"/>
      <c r="I15" s="1831"/>
    </row>
    <row r="16" spans="1:12" ht="12.75">
      <c r="A16" s="3095"/>
      <c r="B16" s="3033"/>
      <c r="C16" s="3100"/>
      <c r="D16" s="3118"/>
      <c r="E16" s="140" t="s">
        <v>2144</v>
      </c>
      <c r="F16" s="2429"/>
      <c r="G16" s="2429"/>
      <c r="H16" s="2429"/>
      <c r="I16" s="1831"/>
    </row>
    <row r="17" spans="1:35" ht="15">
      <c r="A17" s="2430" t="s">
        <v>2145</v>
      </c>
      <c r="B17" s="64"/>
      <c r="C17" s="141">
        <f>SUM(C5:C16)</f>
        <v>5</v>
      </c>
      <c r="D17" s="141">
        <f>SUM(D5:D16)</f>
        <v>5</v>
      </c>
      <c r="E17" s="138"/>
      <c r="F17" s="138"/>
      <c r="G17" s="138"/>
      <c r="H17" s="138"/>
      <c r="I17" s="138"/>
      <c r="K17" s="2428"/>
      <c r="L17" s="2431" t="s">
        <v>2146</v>
      </c>
      <c r="M17" s="2431" t="s">
        <v>2147</v>
      </c>
    </row>
    <row r="18" spans="1:35" ht="15.75" thickBot="1">
      <c r="A18" s="2432" t="s">
        <v>2148</v>
      </c>
      <c r="B18" s="2433"/>
      <c r="C18" s="142">
        <f>ROUND(C17/SUM(C17:D17),2)</f>
        <v>0.5</v>
      </c>
      <c r="D18" s="142">
        <f>1-C18</f>
        <v>0.5</v>
      </c>
      <c r="E18" s="138"/>
      <c r="F18" s="138"/>
      <c r="G18" s="138"/>
      <c r="H18" s="138"/>
      <c r="I18" s="138"/>
      <c r="K18" s="2428" t="s">
        <v>2149</v>
      </c>
      <c r="L18" s="2428">
        <f>IF(C1="",'数据-汇总表'!E3,SUMIF(项目类型,C1,'数据-汇总表'!E17:E26)+SUMIF(项目类型,C1,'数据-汇总表'!I17:I26))</f>
        <v>166180.56000000003</v>
      </c>
      <c r="M18" s="2428">
        <f>IF(C1="",'数据-汇总表'!E3,SUMIF(项目类型,C1,'数据-汇总表'!E17:E26))</f>
        <v>166180.56000000003</v>
      </c>
    </row>
    <row r="19" spans="1:35" ht="15">
      <c r="A19" s="2434" t="s">
        <v>2150</v>
      </c>
      <c r="B19" s="2435" t="s">
        <v>2151</v>
      </c>
      <c r="C19" s="143">
        <f ca="1">SUMIF(INDIRECT("'"&amp;C4&amp;"'"&amp;"!A:A"),结果表!B19,INDIRECT("'"&amp;C4&amp;"'"&amp;"!B:B"))</f>
        <v>939485</v>
      </c>
      <c r="D19" s="144">
        <f ca="1">SUMIF(INDIRECT("'"&amp;D4&amp;"'"&amp;"!A:A"),结果表!B19,INDIRECT("'"&amp;D4&amp;"'"&amp;"!B:B"))</f>
        <v>771951</v>
      </c>
      <c r="E19" s="2434" t="s">
        <v>2152</v>
      </c>
      <c r="F19" s="2435" t="s">
        <v>2151</v>
      </c>
      <c r="G19" s="145">
        <f ca="1">ROUND(C19*$C$18+D19*$D$18,0)</f>
        <v>855718</v>
      </c>
      <c r="H19" s="2436" t="s">
        <v>2153</v>
      </c>
      <c r="I19" s="138"/>
      <c r="K19" s="2428" t="s">
        <v>2154</v>
      </c>
      <c r="L19" s="2428">
        <f>IF(C1="",'数据-汇总表'!D3,SUMIF(项目类型,C1,'数据-汇总表'!D17:D26)+SUMIF(项目类型,C1,'数据-汇总表'!H17:H27))</f>
        <v>14707</v>
      </c>
      <c r="M19" s="2428">
        <f>IF(C1="",'数据-汇总表'!D3,SUMIF(项目类型,C1,'数据-汇总表'!D17:D26))</f>
        <v>14707</v>
      </c>
    </row>
    <row r="20" spans="1:35" ht="15">
      <c r="A20" s="2437"/>
      <c r="B20" s="1248" t="s">
        <v>2155</v>
      </c>
      <c r="C20" s="146">
        <f ca="1">SUMIF(INDIRECT("'"&amp;C4&amp;"'"&amp;"!A:A"),结果表!B20,INDIRECT("'"&amp;C4&amp;"'"&amp;"!B:B"))</f>
        <v>56534</v>
      </c>
      <c r="D20" s="147">
        <f ca="1">SUMIF(INDIRECT("'"&amp;D4&amp;"'"&amp;"!A:A"),结果表!B20,INDIRECT("'"&amp;D4&amp;"'"&amp;"!B:B"))</f>
        <v>46453</v>
      </c>
      <c r="E20" s="2437"/>
      <c r="F20" s="1248" t="s">
        <v>2155</v>
      </c>
      <c r="G20" s="148">
        <f ca="1">ROUND(C20*$C$18+D20*$D$18,0)</f>
        <v>51494</v>
      </c>
      <c r="H20" s="981" t="s">
        <v>2156</v>
      </c>
      <c r="I20" s="138"/>
    </row>
    <row r="21" spans="1:35" ht="15" customHeight="1" thickBot="1">
      <c r="A21" s="1001"/>
      <c r="B21" s="2438" t="s">
        <v>2157</v>
      </c>
      <c r="C21" s="788">
        <f ca="1">ROUND(C19*10000/L19,0)</f>
        <v>638801</v>
      </c>
      <c r="D21" s="789">
        <f ca="1">ROUND(D19*10000/L19,0)</f>
        <v>524887</v>
      </c>
      <c r="E21" s="1001"/>
      <c r="F21" s="2438" t="s">
        <v>2157</v>
      </c>
      <c r="G21" s="149">
        <f ca="1">ROUND(G19*10000/L19,0)</f>
        <v>581844</v>
      </c>
      <c r="H21" s="2439" t="s">
        <v>2156</v>
      </c>
      <c r="I21" s="138"/>
    </row>
    <row r="22" spans="1:35" ht="15" thickBot="1">
      <c r="A22" s="2280" t="s">
        <v>2158</v>
      </c>
      <c r="B22" s="2440"/>
      <c r="C22" s="2441"/>
      <c r="D22" s="790">
        <f ca="1">IF(C19&lt;D19,D19/C19-1,C19/D19-1)</f>
        <v>0.21702672838042836</v>
      </c>
      <c r="E22" s="138"/>
      <c r="F22" s="138"/>
      <c r="G22" s="138"/>
      <c r="H22" s="138"/>
      <c r="I22" s="138"/>
    </row>
    <row r="23" spans="1:35" ht="13.5" thickBot="1">
      <c r="A23" s="2418"/>
      <c r="B23" s="2418"/>
      <c r="C23" s="2418"/>
      <c r="D23" s="2418"/>
      <c r="E23" s="138"/>
      <c r="F23" s="138"/>
      <c r="G23" s="138"/>
      <c r="H23" s="138"/>
      <c r="I23" s="138"/>
    </row>
    <row r="24" spans="1:35" ht="14.25">
      <c r="A24" s="3089" t="s">
        <v>2159</v>
      </c>
      <c r="B24" s="2435" t="s">
        <v>2151</v>
      </c>
      <c r="C24" s="145">
        <f>IF(B30=0,0,D30)</f>
        <v>0</v>
      </c>
      <c r="D24" s="2442"/>
      <c r="E24" s="138"/>
      <c r="F24" s="138"/>
      <c r="G24" s="138"/>
      <c r="H24" s="138"/>
      <c r="I24" s="138"/>
    </row>
    <row r="25" spans="1:35" ht="14.25">
      <c r="A25" s="3090"/>
      <c r="B25" s="1248" t="s">
        <v>2155</v>
      </c>
      <c r="C25" s="150">
        <f>IF(B30=0,0,C30)</f>
        <v>0</v>
      </c>
      <c r="D25" s="2443"/>
      <c r="E25" s="138"/>
      <c r="F25" s="138"/>
      <c r="G25" s="138"/>
      <c r="H25" s="138"/>
      <c r="I25" s="138"/>
    </row>
    <row r="26" spans="1:35" ht="13.5" customHeight="1">
      <c r="A26" s="2444" t="s">
        <v>2160</v>
      </c>
      <c r="B26" s="151" t="s">
        <v>2161</v>
      </c>
      <c r="C26" s="151" t="s">
        <v>2162</v>
      </c>
      <c r="D26" s="152" t="s">
        <v>2163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2164</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3">
        <f ca="1">IF(D32="总价",G19-C24,G20-C25)</f>
        <v>855718</v>
      </c>
      <c r="D32" s="2449" t="s">
        <v>2166</v>
      </c>
      <c r="E32" s="138"/>
      <c r="F32" s="138"/>
      <c r="G32" s="138"/>
      <c r="H32" s="138"/>
      <c r="I32" s="138"/>
    </row>
    <row r="33" spans="1:15" ht="15">
      <c r="A33" s="958" t="s">
        <v>2167</v>
      </c>
      <c r="B33" s="2450"/>
      <c r="C33" s="2451" t="s">
        <v>3195</v>
      </c>
      <c r="D33" s="2452"/>
      <c r="E33" s="2453" t="s">
        <v>2168</v>
      </c>
      <c r="F33" s="2454" t="str">
        <f>IF(D32="楼面单价","取值（单价）","取值（总价）")</f>
        <v>取值（总价）</v>
      </c>
      <c r="G33" s="138"/>
      <c r="H33" s="138"/>
      <c r="I33" s="138"/>
    </row>
    <row r="34" spans="1:15" ht="15">
      <c r="A34" s="2455"/>
      <c r="B34" s="2456" t="s">
        <v>2169</v>
      </c>
      <c r="C34" s="157">
        <f ca="1">IF(C33="自定义",F34,C32-C35)</f>
        <v>641546</v>
      </c>
      <c r="D34" s="1056">
        <f ca="1">IF(C33="自定义",ROUND(C34/C32,3),IF(C33="收益比率",SUMIF(INDIRECT("'"&amp;D33&amp;"'"&amp;"!b:b"),"土地收益比率",INDIRECT("'"&amp;D33&amp;"'"&amp;"!c:c")),SUMIF(INDIRECT("'"&amp;D33&amp;"'"&amp;"!b:b"),"土地成本比率",INDIRECT("'"&amp;D33&amp;"'"&amp;"!c:c"))))</f>
        <v>0.75</v>
      </c>
      <c r="E34" s="2457" t="s">
        <v>2170</v>
      </c>
      <c r="F34" s="1736">
        <f ca="1">面积表!I11</f>
        <v>641546</v>
      </c>
      <c r="G34" s="138"/>
      <c r="H34" s="138"/>
      <c r="I34" s="138"/>
    </row>
    <row r="35" spans="1:15" ht="15.75" thickBot="1">
      <c r="A35" s="2458"/>
      <c r="B35" s="2459" t="s">
        <v>2171</v>
      </c>
      <c r="C35" s="1442">
        <f ca="1">IF(C33="自定义",F35,ROUND(C32*D35,0))</f>
        <v>214172</v>
      </c>
      <c r="D35" s="1443">
        <f ca="1">IF(C33="自定义",ROUND(C35/C32,3),IF(C33="收益比率",SUMIF(INDIRECT("'"&amp;D33&amp;"'"&amp;"!b:b"),"建筑物收益比率",INDIRECT("'"&amp;D33&amp;"'"&amp;"!c:c")),SUMIF(INDIRECT("'"&amp;D33&amp;"'"&amp;"!b:b"),"建筑物成本比率",INDIRECT("'"&amp;D33&amp;"'"&amp;"!c:c"))))</f>
        <v>0.25</v>
      </c>
      <c r="E35" s="2460" t="s">
        <v>2172</v>
      </c>
      <c r="F35" s="163">
        <f ca="1">面积表!I10</f>
        <v>214172</v>
      </c>
      <c r="G35" s="138"/>
      <c r="H35" s="138"/>
      <c r="I35" s="138"/>
    </row>
    <row r="36" spans="1:15" ht="15.75" thickBot="1">
      <c r="A36" s="3107" t="s">
        <v>2173</v>
      </c>
      <c r="B36" s="2461" t="s">
        <v>2174</v>
      </c>
      <c r="C36" s="154"/>
      <c r="D36" s="2462"/>
      <c r="E36" s="2463"/>
      <c r="F36" s="2464"/>
      <c r="G36" s="138"/>
      <c r="H36" s="138"/>
      <c r="I36" s="138"/>
    </row>
    <row r="37" spans="1:15" ht="15.75" thickBot="1">
      <c r="A37" s="3108"/>
      <c r="B37" s="2266" t="s">
        <v>2175</v>
      </c>
      <c r="C37" s="156"/>
      <c r="D37" s="1393"/>
      <c r="E37" s="1393"/>
      <c r="F37" s="2464"/>
      <c r="G37" s="138"/>
      <c r="H37" s="138"/>
      <c r="I37" s="138"/>
    </row>
    <row r="38" spans="1:15" ht="15.75" thickBot="1">
      <c r="A38" s="3109"/>
      <c r="B38" s="2465" t="s">
        <v>2176</v>
      </c>
      <c r="C38" s="726"/>
      <c r="D38" s="2466" t="s">
        <v>2177</v>
      </c>
      <c r="E38" s="1393"/>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8"/>
      <c r="C40" s="159"/>
      <c r="D40" s="159"/>
      <c r="E40" s="160"/>
      <c r="F40" s="2464"/>
      <c r="G40" s="138"/>
      <c r="H40" s="138"/>
      <c r="I40" s="138"/>
    </row>
    <row r="41" spans="1:15" ht="14.25">
      <c r="A41" s="2470" t="s">
        <v>2184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086" t="s">
        <v>2187</v>
      </c>
      <c r="B45" s="3087"/>
      <c r="C45" s="3088"/>
      <c r="D45" s="164">
        <f ca="1">ROUND(H101*F45,0)</f>
        <v>684574</v>
      </c>
      <c r="E45" s="165" t="s">
        <v>2188</v>
      </c>
      <c r="F45" s="166">
        <v>0.8</v>
      </c>
      <c r="G45" s="167" t="s">
        <v>2189</v>
      </c>
      <c r="H45" s="138"/>
      <c r="I45" s="138"/>
      <c r="J45" s="3146" t="s">
        <v>2190</v>
      </c>
      <c r="K45" s="3146"/>
      <c r="L45" s="3146"/>
      <c r="M45" s="3146"/>
      <c r="N45" s="3146"/>
      <c r="O45" s="3146"/>
    </row>
    <row r="46" spans="1:15" ht="14.25" customHeight="1">
      <c r="A46" s="3083" t="s">
        <v>2191</v>
      </c>
      <c r="B46" s="3084"/>
      <c r="C46" s="3084"/>
      <c r="D46" s="3084"/>
      <c r="E46" s="3084"/>
      <c r="F46" s="3084"/>
      <c r="G46" s="3085"/>
      <c r="H46" s="2480"/>
      <c r="I46" s="168"/>
      <c r="J46" s="1809">
        <v>1</v>
      </c>
      <c r="K46" s="3146" t="s">
        <v>2192</v>
      </c>
      <c r="L46" s="3146"/>
      <c r="M46" s="3166"/>
      <c r="N46" s="3166"/>
      <c r="O46" s="3166"/>
    </row>
    <row r="47" spans="1:15" ht="12" customHeight="1">
      <c r="A47" s="169" t="s">
        <v>2193</v>
      </c>
      <c r="B47" s="170"/>
      <c r="C47" s="171"/>
      <c r="D47" s="172" t="s">
        <v>2194</v>
      </c>
      <c r="E47" s="24" t="s">
        <v>2195</v>
      </c>
      <c r="F47" s="173" t="s">
        <v>2196</v>
      </c>
      <c r="G47" s="174" t="s">
        <v>2197</v>
      </c>
      <c r="H47" s="2480"/>
      <c r="I47" s="168"/>
      <c r="J47" s="1809">
        <v>2</v>
      </c>
      <c r="K47" s="3146" t="s">
        <v>2198</v>
      </c>
      <c r="L47" s="3146"/>
      <c r="M47" s="3167">
        <f>'数据-取费表'!B2</f>
        <v>43468</v>
      </c>
      <c r="N47" s="3167"/>
      <c r="O47" s="3167"/>
    </row>
    <row r="48" spans="1:15" ht="25.5">
      <c r="A48" s="3114" t="s">
        <v>2199</v>
      </c>
      <c r="B48" s="3097"/>
      <c r="C48" s="3097"/>
      <c r="D48" s="140">
        <f ca="1">IF(H48="情况1",0,IF(H48="情况2",D52,IF(H48="情况3",D53,IF(H48="情况4",D54))))</f>
        <v>36511</v>
      </c>
      <c r="E48" s="1798" t="str">
        <f>IF(H48="情况4","(销售额-原购置价)×税（费）率","销售额×税（费）率")</f>
        <v>(销售额-原购置价)×税（费）率</v>
      </c>
      <c r="F48" s="175">
        <f>IF(H48="情况1","免征",'数据-取费表'!B41)</f>
        <v>5.6000000000000001E-2</v>
      </c>
      <c r="G48" s="2481" t="s">
        <v>2200</v>
      </c>
      <c r="H48" s="2482" t="s">
        <v>3217</v>
      </c>
      <c r="I48" s="2480"/>
      <c r="J48" s="1809">
        <v>3</v>
      </c>
      <c r="K48" s="3146" t="s">
        <v>2201</v>
      </c>
      <c r="L48" s="3146"/>
      <c r="M48" s="3168">
        <f ca="1">H101</f>
        <v>855718</v>
      </c>
      <c r="N48" s="3168"/>
      <c r="O48" s="3168"/>
    </row>
    <row r="49" spans="1:35" ht="25.5" customHeight="1">
      <c r="A49" s="176" t="s">
        <v>2202</v>
      </c>
      <c r="B49" s="3082" t="s">
        <v>2203</v>
      </c>
      <c r="C49" s="3082"/>
      <c r="D49" s="177">
        <v>0</v>
      </c>
      <c r="E49" s="23" t="s">
        <v>2204</v>
      </c>
      <c r="F49" s="28" t="s">
        <v>34</v>
      </c>
      <c r="G49" s="3152"/>
      <c r="H49" s="138"/>
      <c r="I49" s="2483"/>
      <c r="J49" s="1809">
        <v>4</v>
      </c>
      <c r="K49" s="3146" t="str">
        <f>IF(项目基本情况!E8="房地产抵押价值","房地产抵押价值","抵押担保权已注销时的房地产抵押价值")</f>
        <v>房地产抵押价值</v>
      </c>
      <c r="L49" s="3146"/>
      <c r="M49" s="3168">
        <f ca="1">IF(项目基本情况!E8="房地产抵押价值",H107,H109)</f>
        <v>855718</v>
      </c>
      <c r="N49" s="3168"/>
      <c r="O49" s="3168"/>
    </row>
    <row r="50" spans="1:35" ht="25.5" customHeight="1">
      <c r="A50" s="178"/>
      <c r="B50" s="3082" t="s">
        <v>2205</v>
      </c>
      <c r="C50" s="3082"/>
      <c r="D50" s="179"/>
      <c r="E50" s="31"/>
      <c r="F50" s="180"/>
      <c r="G50" s="3153"/>
      <c r="H50" s="138"/>
      <c r="I50" s="2483"/>
      <c r="J50" s="3146" t="s">
        <v>2206</v>
      </c>
      <c r="K50" s="3146"/>
      <c r="L50" s="3146"/>
      <c r="M50" s="3146"/>
      <c r="N50" s="3146"/>
      <c r="O50" s="3146"/>
    </row>
    <row r="51" spans="1:35" ht="12" customHeight="1">
      <c r="A51" s="181"/>
      <c r="B51" s="3082" t="s">
        <v>2207</v>
      </c>
      <c r="C51" s="3082"/>
      <c r="D51" s="182"/>
      <c r="E51" s="30"/>
      <c r="F51" s="180"/>
      <c r="G51" s="3154"/>
      <c r="H51" s="138"/>
      <c r="I51" s="2483"/>
      <c r="J51" s="2484" t="s">
        <v>2208</v>
      </c>
      <c r="K51" s="3146" t="s">
        <v>2209</v>
      </c>
      <c r="L51" s="3146"/>
      <c r="M51" s="2484" t="s">
        <v>2210</v>
      </c>
      <c r="N51" s="2484" t="s">
        <v>2211</v>
      </c>
      <c r="O51" s="2484" t="s">
        <v>2212</v>
      </c>
    </row>
    <row r="52" spans="1:35" ht="24" customHeight="1">
      <c r="A52" s="183" t="s">
        <v>2213</v>
      </c>
      <c r="B52" s="3082" t="s">
        <v>2214</v>
      </c>
      <c r="C52" s="3082"/>
      <c r="D52" s="182">
        <f ca="1">ROUND(D45*'数据-取费表'!B41/(1+'数据-取费表'!C42),0)</f>
        <v>36511</v>
      </c>
      <c r="E52" s="11" t="s">
        <v>2215</v>
      </c>
      <c r="F52" s="184">
        <f>'数据-取费表'!B41</f>
        <v>5.6000000000000001E-2</v>
      </c>
      <c r="G52" s="2485"/>
      <c r="H52" s="138"/>
      <c r="I52" s="2483"/>
      <c r="J52" s="1809">
        <v>1</v>
      </c>
      <c r="K52" s="3147" t="s">
        <v>2216</v>
      </c>
      <c r="L52" s="3147"/>
      <c r="M52" s="1751">
        <f ca="1">D48</f>
        <v>36511</v>
      </c>
      <c r="N52" s="1809" t="str">
        <f>E48</f>
        <v>(销售额-原购置价)×税（费）率</v>
      </c>
      <c r="O52" s="1752">
        <f>F48</f>
        <v>5.6000000000000001E-2</v>
      </c>
    </row>
    <row r="53" spans="1:35" ht="12" customHeight="1">
      <c r="A53" s="183" t="s">
        <v>2217</v>
      </c>
      <c r="B53" s="3105" t="s">
        <v>2218</v>
      </c>
      <c r="C53" s="3106"/>
      <c r="D53" s="182">
        <f ca="1">ROUND(D45*'数据-取费表'!B41/(1+'数据-取费表'!C42),0)</f>
        <v>36511</v>
      </c>
      <c r="E53" s="11" t="s">
        <v>2215</v>
      </c>
      <c r="F53" s="184">
        <f>'数据-取费表'!B41</f>
        <v>5.6000000000000001E-2</v>
      </c>
      <c r="G53" s="2485"/>
      <c r="H53" s="138"/>
      <c r="I53" s="2483"/>
      <c r="J53" s="1809">
        <v>2</v>
      </c>
      <c r="K53" s="3147" t="s">
        <v>2219</v>
      </c>
      <c r="L53" s="3147"/>
      <c r="M53" s="1751">
        <f t="shared" ref="M53:O54" ca="1" si="0">D55</f>
        <v>342</v>
      </c>
      <c r="N53" s="1809" t="str">
        <f t="shared" si="0"/>
        <v>销售额×税（费）率</v>
      </c>
      <c r="O53" s="1752">
        <f t="shared" si="0"/>
        <v>5.0000000000000001E-4</v>
      </c>
    </row>
    <row r="54" spans="1:35" ht="12" customHeight="1">
      <c r="A54" s="183" t="s">
        <v>2220</v>
      </c>
      <c r="B54" s="3105" t="s">
        <v>2221</v>
      </c>
      <c r="C54" s="3106"/>
      <c r="D54" s="182">
        <f ca="1">C68</f>
        <v>36511</v>
      </c>
      <c r="E54" s="30" t="s">
        <v>2222</v>
      </c>
      <c r="F54" s="184">
        <f>'数据-取费表'!B41</f>
        <v>5.6000000000000001E-2</v>
      </c>
      <c r="G54" s="2485"/>
      <c r="H54" s="2486"/>
      <c r="I54" s="2483"/>
      <c r="J54" s="1809">
        <v>3</v>
      </c>
      <c r="K54" s="3147" t="s">
        <v>2223</v>
      </c>
      <c r="L54" s="3147"/>
      <c r="M54" s="1751">
        <f t="shared" ca="1" si="0"/>
        <v>116190</v>
      </c>
      <c r="N54" s="1809" t="str">
        <f t="shared" si="0"/>
        <v>增值额×税（费）率</v>
      </c>
      <c r="O54" s="1753" t="str">
        <f t="shared" si="0"/>
        <v>——</v>
      </c>
    </row>
    <row r="55" spans="1:35" ht="24" customHeight="1">
      <c r="A55" s="3096" t="s">
        <v>2224</v>
      </c>
      <c r="B55" s="3097"/>
      <c r="C55" s="3097"/>
      <c r="D55" s="185">
        <f ca="1">IF(H55="个人住宅",0,ROUND(D45*I55,0))</f>
        <v>342</v>
      </c>
      <c r="E55" s="11" t="s">
        <v>2225</v>
      </c>
      <c r="F55" s="184">
        <f>IF(H55="正常",I55,"免征")</f>
        <v>5.0000000000000001E-4</v>
      </c>
      <c r="G55" s="2485"/>
      <c r="H55" s="2482" t="s">
        <v>2226</v>
      </c>
      <c r="I55" s="186">
        <f>'数据-取费表'!B49</f>
        <v>5.0000000000000001E-4</v>
      </c>
      <c r="J55" s="1809" t="str">
        <f>IF(H59="非个人房产","",4)</f>
        <v/>
      </c>
      <c r="K55" s="3147" t="str">
        <f>IF(H59="非个人房产","——","个人所得税")</f>
        <v>——</v>
      </c>
      <c r="L55" s="3147"/>
      <c r="M55" s="1754" t="str">
        <f>D59</f>
        <v>——</v>
      </c>
      <c r="N55" s="1807" t="str">
        <f>E59</f>
        <v>——</v>
      </c>
      <c r="O55" s="1755" t="str">
        <f>F59</f>
        <v>——</v>
      </c>
    </row>
    <row r="56" spans="1:35" ht="24.75">
      <c r="A56" s="3096" t="s">
        <v>2227</v>
      </c>
      <c r="B56" s="3097"/>
      <c r="C56" s="3097"/>
      <c r="D56" s="185">
        <f ca="1">IF(H56="个人住宅",D57,D58)</f>
        <v>116190</v>
      </c>
      <c r="E56" s="11" t="s">
        <v>2228</v>
      </c>
      <c r="F56" s="184" t="str">
        <f>IF(H56="正常",F58,"免征")</f>
        <v>——</v>
      </c>
      <c r="G56" s="2487" t="s">
        <v>2229</v>
      </c>
      <c r="H56" s="2488" t="s">
        <v>3218</v>
      </c>
      <c r="I56" s="2489"/>
      <c r="J56" s="1809" t="str">
        <f>IF(项目基本情况!K6="上海银行",IF(J55="",4,J55+1),"")</f>
        <v/>
      </c>
      <c r="K56" s="3170" t="str">
        <f>IF(项目基本情况!K6="上海银行","其他处置费用","")</f>
        <v/>
      </c>
      <c r="L56" s="3171"/>
      <c r="M56" s="1751" t="str">
        <f>IF(项目基本情况!K6="上海银行",M69,"")</f>
        <v/>
      </c>
      <c r="N56" s="3173" t="str">
        <f>IF(项目基本情况!K6="上海银行","包含处置中涉及的律师、诉讼、拍卖、评估等费用","")</f>
        <v/>
      </c>
      <c r="O56" s="3174"/>
    </row>
    <row r="57" spans="1:35" ht="12.75">
      <c r="A57" s="183" t="s">
        <v>2202</v>
      </c>
      <c r="B57" s="3112" t="s">
        <v>2230</v>
      </c>
      <c r="C57" s="3121"/>
      <c r="D57" s="187">
        <v>0</v>
      </c>
      <c r="E57" s="23" t="s">
        <v>2204</v>
      </c>
      <c r="F57" s="155"/>
      <c r="G57" s="2485"/>
      <c r="H57" s="2489"/>
      <c r="I57" s="2489"/>
      <c r="J57" s="3147">
        <f>IF(AND(J55="",J56=""),4,IF(项目基本情况!K6="上海银行",结果表!J56+1,结果表!J55+1))</f>
        <v>4</v>
      </c>
      <c r="K57" s="3147" t="s">
        <v>2231</v>
      </c>
      <c r="L57" s="2490" t="s">
        <v>2232</v>
      </c>
      <c r="M57" s="1756"/>
      <c r="N57" s="1757">
        <f ca="1">SUMIF(M52:M56,"&lt;9e307")</f>
        <v>153043</v>
      </c>
      <c r="O57" s="2491"/>
      <c r="P57" s="1750">
        <f ca="1">N57/M49</f>
        <v>0.17884747077892482</v>
      </c>
    </row>
    <row r="58" spans="1:35" ht="24.75">
      <c r="A58" s="183" t="s">
        <v>2213</v>
      </c>
      <c r="B58" s="3112" t="s">
        <v>2233</v>
      </c>
      <c r="C58" s="3113"/>
      <c r="D58" s="185">
        <f ca="1">IF(H58="转让取得",C81,C97)</f>
        <v>116190</v>
      </c>
      <c r="E58" s="11" t="s">
        <v>2228</v>
      </c>
      <c r="F58" s="24" t="s">
        <v>34</v>
      </c>
      <c r="G58" s="2485"/>
      <c r="H58" s="2488" t="s">
        <v>3219</v>
      </c>
      <c r="I58" s="2489"/>
      <c r="J58" s="3147"/>
      <c r="K58" s="3147"/>
      <c r="L58" s="2490" t="s">
        <v>2234</v>
      </c>
      <c r="M58" s="1758"/>
      <c r="N58" s="2492" t="str">
        <f ca="1">NUMBERSTRING(INT(N57*10000),2)&amp;"元整"</f>
        <v>壹拾伍亿叁仟零肆拾叁万元整</v>
      </c>
      <c r="O58" s="2493"/>
    </row>
    <row r="59" spans="1:35" ht="24.75" thickBot="1">
      <c r="A59" s="3150" t="s">
        <v>2235</v>
      </c>
      <c r="B59" s="3151"/>
      <c r="C59" s="3151"/>
      <c r="D59" s="188" t="str">
        <f>IF(H59="非个人房产","——",IF(H59="个人住宅",0,ROUND(D45*I59,0)))</f>
        <v>——</v>
      </c>
      <c r="E59" s="189" t="str">
        <f>IF(H59="非个人房产","——","销售额×税（费）率")</f>
        <v>——</v>
      </c>
      <c r="F59" s="190" t="str">
        <f>IF(H59="非个人房产","——",IF(H59="个人住宅","免征",I59))</f>
        <v>——</v>
      </c>
      <c r="G59" s="2494" t="s">
        <v>2229</v>
      </c>
      <c r="H59" s="2488" t="s">
        <v>2236</v>
      </c>
      <c r="I59" s="191">
        <v>0.01</v>
      </c>
      <c r="J59" s="3148">
        <f>J57+1</f>
        <v>5</v>
      </c>
      <c r="K59" s="3147" t="s">
        <v>2237</v>
      </c>
      <c r="L59" s="1809" t="s">
        <v>2232</v>
      </c>
      <c r="M59" s="1759"/>
      <c r="N59" s="1760">
        <f ca="1">M49-N57</f>
        <v>702675</v>
      </c>
      <c r="O59" s="2495"/>
    </row>
    <row r="60" spans="1:35" ht="12" customHeight="1">
      <c r="A60" s="2496"/>
      <c r="B60" s="2418"/>
      <c r="C60" s="2418"/>
      <c r="D60" s="2418"/>
      <c r="E60" s="2166"/>
      <c r="F60" s="2489"/>
      <c r="G60" s="2489"/>
      <c r="H60" s="2497"/>
      <c r="I60" s="138"/>
      <c r="J60" s="3149"/>
      <c r="K60" s="3147"/>
      <c r="L60" s="2490" t="s">
        <v>2234</v>
      </c>
      <c r="M60" s="1758"/>
      <c r="N60" s="2492" t="str">
        <f ca="1">NUMBERSTRING(INT(N59*10000),2)&amp;"元整"</f>
        <v>柒拾亿贰仟陆佰柒拾伍万元整</v>
      </c>
      <c r="O60" s="2493"/>
    </row>
    <row r="61" spans="1:35" ht="13.5" thickBot="1">
      <c r="A61" s="3094" t="s">
        <v>2238</v>
      </c>
      <c r="B61" s="3094"/>
      <c r="C61" s="3094"/>
      <c r="D61" s="3094"/>
      <c r="E61" s="3094"/>
      <c r="F61" s="2489"/>
      <c r="G61" s="2489"/>
      <c r="H61" s="2497"/>
      <c r="I61" s="138"/>
      <c r="J61" s="1809">
        <f>J59+1</f>
        <v>6</v>
      </c>
      <c r="K61" s="3147" t="s">
        <v>2239</v>
      </c>
      <c r="L61" s="3147"/>
      <c r="M61" s="1761"/>
      <c r="N61" s="1762">
        <f ca="1">ROUND(N59*10000/'数据-汇总表'!E3,0)</f>
        <v>42284</v>
      </c>
      <c r="O61" s="2498"/>
    </row>
    <row r="62" spans="1:35" ht="12.75">
      <c r="A62" s="3110" t="s">
        <v>2240</v>
      </c>
      <c r="B62" s="3111"/>
      <c r="C62" s="1801"/>
      <c r="D62" s="1801" t="s">
        <v>2241</v>
      </c>
      <c r="E62" s="192" t="s">
        <v>2242</v>
      </c>
      <c r="F62" s="2489"/>
      <c r="G62" s="2489"/>
      <c r="H62" s="2497"/>
      <c r="I62" s="138"/>
    </row>
    <row r="63" spans="1:35" ht="12.75">
      <c r="A63" s="203" t="s">
        <v>775</v>
      </c>
      <c r="B63" s="193" t="s">
        <v>2243</v>
      </c>
      <c r="C63" s="194">
        <f ca="1">ROUND((C64+C65)/(1+'数据-取费表'!C42),0)</f>
        <v>651975</v>
      </c>
      <c r="D63" s="195"/>
      <c r="E63" s="196"/>
      <c r="F63" s="2489"/>
      <c r="G63" s="2489"/>
      <c r="H63" s="2497"/>
      <c r="I63" s="138"/>
      <c r="J63" s="3172" t="s">
        <v>2244</v>
      </c>
      <c r="K63" s="2499" t="s">
        <v>2245</v>
      </c>
      <c r="L63" s="1749">
        <f ca="1">IF(M49&gt;10000,M49*0.5%,IF(AND(M49&gt;1000,M49&lt;=10000),M49*1%,IF(AND(M49&gt;100,M49&lt;=1000),M49*3%,IF(AND(M49&gt;10,M49&lt;=100),M49*5%,M49*8%))))</f>
        <v>4278.59</v>
      </c>
      <c r="M63" s="24">
        <f ca="1">ROUND(L63,1)</f>
        <v>4278.6000000000004</v>
      </c>
      <c r="Z63" s="2423"/>
      <c r="AI63" s="2424"/>
    </row>
    <row r="64" spans="1:35" ht="14.25" customHeight="1">
      <c r="A64" s="197" t="s">
        <v>770</v>
      </c>
      <c r="B64" s="198" t="s">
        <v>2246</v>
      </c>
      <c r="C64" s="199">
        <f ca="1">D45</f>
        <v>684574</v>
      </c>
      <c r="D64" s="200" t="s">
        <v>32</v>
      </c>
      <c r="E64" s="201"/>
      <c r="F64" s="2489"/>
      <c r="G64" s="2489"/>
      <c r="H64" s="2497"/>
      <c r="I64" s="138"/>
      <c r="J64" s="3172"/>
      <c r="K64" s="2499" t="s">
        <v>2247</v>
      </c>
      <c r="L64" s="1749">
        <f ca="1">IF(M49&gt;2000,M49*0.5%,IF(AND(M49&gt;1000,M49&lt;=2000),M49*0.6%,IF(AND(M49&gt;500,M49&lt;=1000),M49*0.7%,IF(AND(M49&gt;200,M49&lt;=500),M49*0.8%,IF(AND(M49&gt;100,M49&lt;=200),M49*0.9%,IF(AND(M49&gt;50,M49&lt;=100),M49*1%,IF(AND(M49&gt;20,M49&lt;=50),M49*1.5%,IF(AND(M49&gt;10,M49&lt;=20),M49*2%,IF(AND(M49&gt;1,M49&lt;=10),M49*2.5%)))))))))</f>
        <v>4278.59</v>
      </c>
      <c r="M64" s="24">
        <f t="shared" ref="M64:M65" ca="1" si="1">ROUND(L64,1)</f>
        <v>4278.6000000000004</v>
      </c>
      <c r="N64" s="138" t="s">
        <v>2248</v>
      </c>
      <c r="Z64" s="2423"/>
      <c r="AI64" s="2424"/>
    </row>
    <row r="65" spans="1:35" ht="14.25" customHeight="1">
      <c r="A65" s="197" t="s">
        <v>771</v>
      </c>
      <c r="B65" s="198" t="s">
        <v>2249</v>
      </c>
      <c r="C65" s="202"/>
      <c r="D65" s="200"/>
      <c r="E65" s="201"/>
      <c r="F65" s="2489"/>
      <c r="G65" s="2489"/>
      <c r="H65" s="2497"/>
      <c r="I65" s="138"/>
      <c r="J65" s="3172"/>
      <c r="K65" s="2499" t="s">
        <v>2250</v>
      </c>
      <c r="L65" s="1749">
        <f ca="1">IF(M49&gt;1000,M49*0.1%,IF(AND(M49&gt;500,M49&lt;=1000),M49*0.5%,IF(AND(M49&gt;50,M49&lt;=500),M49*1%,IF(AND(M49&gt;1,M49&lt;=50),M49*1.5%))))</f>
        <v>855.71800000000007</v>
      </c>
      <c r="M65" s="24">
        <f t="shared" ca="1" si="1"/>
        <v>855.7</v>
      </c>
      <c r="N65" s="138" t="s">
        <v>2248</v>
      </c>
      <c r="Z65" s="2423"/>
      <c r="AI65" s="2424"/>
    </row>
    <row r="66" spans="1:35" ht="14.25" customHeight="1">
      <c r="A66" s="203" t="s">
        <v>772</v>
      </c>
      <c r="B66" s="204" t="s">
        <v>2251</v>
      </c>
      <c r="C66" s="2986"/>
      <c r="D66" s="205" t="s">
        <v>32</v>
      </c>
      <c r="E66" s="1773" t="s">
        <v>1371</v>
      </c>
      <c r="F66" s="2489"/>
      <c r="G66" s="2489"/>
      <c r="H66" s="2497"/>
      <c r="I66" s="138"/>
      <c r="J66" s="3172"/>
      <c r="K66" s="2499" t="s">
        <v>2252</v>
      </c>
      <c r="L66" s="1749">
        <f ca="1">M49*0.5%</f>
        <v>4278.59</v>
      </c>
      <c r="M66" s="24">
        <f ca="1">IF(L66&gt;0.5,0.5,ROUND(L66,0))</f>
        <v>0.5</v>
      </c>
      <c r="N66" s="138" t="s">
        <v>2253</v>
      </c>
      <c r="Z66" s="2423"/>
      <c r="AI66" s="2424"/>
    </row>
    <row r="67" spans="1:35" ht="14.25" customHeight="1">
      <c r="A67" s="203" t="s">
        <v>773</v>
      </c>
      <c r="B67" s="204" t="s">
        <v>2254</v>
      </c>
      <c r="C67" s="206">
        <f ca="1">C63-C66</f>
        <v>651975</v>
      </c>
      <c r="D67" s="200" t="s">
        <v>32</v>
      </c>
      <c r="E67" s="201"/>
      <c r="F67" s="2489"/>
      <c r="G67" s="2489"/>
      <c r="H67" s="2497"/>
      <c r="I67" s="138"/>
      <c r="J67" s="3172"/>
      <c r="K67" s="2499" t="s">
        <v>2255</v>
      </c>
      <c r="L67" s="1749">
        <f ca="1">IF(M49&gt;=10000,(8.25+(M49-10000)*0.01%),IF(AND(M49&gt;=8000,M49&lt;10000),(7.85+(M49-8000)*0.02%),IF(AND(M49&gt;=5000,M49&lt;8000),(6.65+(M49-5000)*0.04%),IF(AND(M49&gt;=2000,M49&lt;5000),(4.25+(PM49-2000)*0.08%),IF(AND(M49&gt;=1000,M49&lt;2000),(2.75+(M49-1000)*0.15%),IF(AND(M49&gt;=100,M49&lt;1000),(0.5+(M49-100)*0.25%),IF(AND(M49&gt;0,M49&lt;100),M49*0.5%)))))))</f>
        <v>92.82180000000001</v>
      </c>
      <c r="M67" s="24">
        <f ca="1">ROUND(L67*0.9,1)</f>
        <v>83.5</v>
      </c>
      <c r="Z67" s="2423"/>
      <c r="AI67" s="2424"/>
    </row>
    <row r="68" spans="1:35" ht="14.25" customHeight="1" thickBot="1">
      <c r="A68" s="207" t="s">
        <v>774</v>
      </c>
      <c r="B68" s="208" t="s">
        <v>2256</v>
      </c>
      <c r="C68" s="209">
        <f ca="1">IF(C67&lt;=0,0,ROUND(C67*D68,0))</f>
        <v>36511</v>
      </c>
      <c r="D68" s="210">
        <f>'数据-取费表'!B41</f>
        <v>5.6000000000000001E-2</v>
      </c>
      <c r="E68" s="211"/>
      <c r="F68" s="2489"/>
      <c r="G68" s="2489"/>
      <c r="H68" s="2497"/>
      <c r="I68" s="138"/>
      <c r="J68" s="3172"/>
      <c r="K68" s="2499" t="s">
        <v>2257</v>
      </c>
      <c r="L68" s="1749">
        <f ca="1">IF(M49&gt;10000,M49*0.5%,IF(AND(M49&gt;5000,M49&lt;=10000),M49*1%,IF(AND(M49&gt;1000,M49&lt;=5000),M49*2%,IF(AND(M49&gt;200,M49&lt;=1000),M49*3%,M49*5%))))</f>
        <v>4278.59</v>
      </c>
      <c r="M68" s="24">
        <f ca="1">ROUND(L68,1)</f>
        <v>4278.6000000000004</v>
      </c>
      <c r="Z68" s="2423"/>
      <c r="AI68" s="2424"/>
    </row>
    <row r="69" spans="1:35" s="2446" customFormat="1" ht="16.5" customHeight="1">
      <c r="A69" s="2500"/>
      <c r="B69" s="2501"/>
      <c r="C69" s="2502"/>
      <c r="D69" s="2503"/>
      <c r="E69" s="2504"/>
      <c r="F69" s="2166"/>
      <c r="G69" s="2166"/>
      <c r="H69" s="2165"/>
      <c r="I69" s="2418"/>
      <c r="J69" s="3172"/>
      <c r="K69" s="2499" t="s">
        <v>2258</v>
      </c>
      <c r="L69" s="2505"/>
      <c r="M69" s="24">
        <f ca="1">ROUND(SUM(M63:M68),0)</f>
        <v>13776</v>
      </c>
      <c r="N69" s="1750">
        <f ca="1">M69/M49</f>
        <v>1.6098761507879932E-2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31" t="s">
        <v>2259</v>
      </c>
      <c r="B70" s="3132"/>
      <c r="C70" s="3132"/>
      <c r="D70" s="3132"/>
      <c r="E70" s="3132"/>
      <c r="F70" s="3132"/>
      <c r="G70" s="3132"/>
      <c r="H70" s="313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0" t="s">
        <v>2240</v>
      </c>
      <c r="B71" s="3111"/>
      <c r="C71" s="1801"/>
      <c r="D71" s="1801" t="s">
        <v>2241</v>
      </c>
      <c r="E71" s="212" t="s">
        <v>2242</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2260</v>
      </c>
      <c r="C72" s="206">
        <f ca="1">ROUND(D45/(1+'数据-取费表'!C42),0)</f>
        <v>651975</v>
      </c>
      <c r="D72" s="200"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2261</v>
      </c>
      <c r="C73" s="206">
        <f ca="1">C74+C78</f>
        <v>3912</v>
      </c>
      <c r="D73" s="200"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8" t="s">
        <v>2262</v>
      </c>
      <c r="C74" s="200">
        <f>ROUND(IF(G77="2016年5月1日后购买",C75/(1+'数据-取费表'!C42)+C76+C77,C75+C76+C77),0)</f>
        <v>0</v>
      </c>
      <c r="D74" s="200"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8" t="s">
        <v>2263</v>
      </c>
      <c r="C75" s="217"/>
      <c r="D75" s="200" t="s">
        <v>32</v>
      </c>
      <c r="E75" s="218" t="s">
        <v>2264</v>
      </c>
      <c r="F75" s="2511" t="s">
        <v>2265</v>
      </c>
      <c r="G75" s="218" t="s">
        <v>2266</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2267</v>
      </c>
      <c r="C76" s="200">
        <f>IF(F75="购房发票",ROUND(C75*H75*D76,0),0)</f>
        <v>0</v>
      </c>
      <c r="D76" s="221">
        <v>0.05</v>
      </c>
      <c r="E76" s="3105" t="s">
        <v>2268</v>
      </c>
      <c r="F76" s="3082"/>
      <c r="G76" s="3082"/>
      <c r="H76" s="313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8" t="s">
        <v>2269</v>
      </c>
      <c r="C77" s="200">
        <f>ROUND(IF(G77="个人住宅",0,IF(G77="2016年5月1日前购买",C75*D77,C75*D77/(1+'数据-取费表'!C42))),0)</f>
        <v>0</v>
      </c>
      <c r="D77" s="222">
        <f>'数据-取费表'!B48+'数据-取费表'!B49</f>
        <v>3.0499999999999999E-2</v>
      </c>
      <c r="E77" s="15" t="s">
        <v>2270</v>
      </c>
      <c r="F77" s="223"/>
      <c r="G77" s="2513" t="s">
        <v>2271</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8" t="s">
        <v>2272</v>
      </c>
      <c r="C78" s="224">
        <f ca="1">ROUND(D45*D78/(1+'数据-取费表'!C42),0)</f>
        <v>3912</v>
      </c>
      <c r="D78" s="225">
        <f>'数据-取费表'!B43</f>
        <v>6.000000000000001E-3</v>
      </c>
      <c r="E78" s="3091" t="s">
        <v>2273</v>
      </c>
      <c r="F78" s="3092"/>
      <c r="G78" s="3092"/>
      <c r="H78" s="310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2274</v>
      </c>
      <c r="C79" s="206">
        <f ca="1">C72-C73</f>
        <v>648063</v>
      </c>
      <c r="D79" s="200"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2275</v>
      </c>
      <c r="C80" s="226">
        <f ca="1">IF(C79&lt;=0,0,C79/C73)</f>
        <v>165.66027607361963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2276</v>
      </c>
      <c r="C81" s="227">
        <f ca="1">ROUND(IF(C79&lt;=0,0,IF(C80&gt;=200%,C79*60%-C73*35%,IF(C80&gt;=100%,C79*50%-C73*15%,IF(C80&gt;=50%,C79*40%-C73*5%,IF(C80&lt;50%,C79*30%,0))))),0)</f>
        <v>387469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1" t="s">
        <v>2277</v>
      </c>
      <c r="B83" s="3132"/>
      <c r="C83" s="3132"/>
      <c r="D83" s="3132"/>
      <c r="E83" s="3132"/>
      <c r="F83" s="3132"/>
      <c r="G83" s="3132"/>
      <c r="H83" s="313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0" t="s">
        <v>2240</v>
      </c>
      <c r="B84" s="3111"/>
      <c r="C84" s="1801"/>
      <c r="D84" s="1801" t="s">
        <v>2241</v>
      </c>
      <c r="E84" s="212" t="s">
        <v>2242</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2260</v>
      </c>
      <c r="C85" s="206">
        <f ca="1">ROUND(D45/(1+'数据-取费表'!C42),0)</f>
        <v>651975</v>
      </c>
      <c r="D85" s="200"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2261</v>
      </c>
      <c r="C86" s="206">
        <f ca="1">IF(H88="仅含出让金",C87+C90+C91+C92+C93+C94,C87+C91+C92+C93+C94)</f>
        <v>322764.78901800001</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8" t="s">
        <v>2278</v>
      </c>
      <c r="C87" s="224">
        <f>C88+C89</f>
        <v>66715.801700000011</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8" t="s">
        <v>2279</v>
      </c>
      <c r="C88" s="235">
        <f>(130662417+516745600)/10000</f>
        <v>64740.801700000004</v>
      </c>
      <c r="D88" s="225"/>
      <c r="E88" s="236" t="s">
        <v>2280</v>
      </c>
      <c r="F88" s="1797"/>
      <c r="G88" s="237" t="s">
        <v>2281</v>
      </c>
      <c r="H88" s="2517" t="s">
        <v>3220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8" t="s">
        <v>2269</v>
      </c>
      <c r="C89" s="224">
        <f>ROUND(C88*D89,0)</f>
        <v>1975</v>
      </c>
      <c r="D89" s="225">
        <f>'数据-取费表'!B48+'数据-取费表'!B49</f>
        <v>3.0499999999999999E-2</v>
      </c>
      <c r="E89" s="236" t="s">
        <v>2282</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8" t="s">
        <v>2283</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2284</v>
      </c>
      <c r="B91" s="198" t="s">
        <v>2285</v>
      </c>
      <c r="C91" s="224">
        <f>IF(H91="——",成本法!C33,I91)</f>
        <v>178555.987318</v>
      </c>
      <c r="D91" s="225"/>
      <c r="E91" s="3091" t="s">
        <v>2286</v>
      </c>
      <c r="F91" s="3092"/>
      <c r="G91" s="3092"/>
      <c r="H91" s="2518" t="s">
        <v>3221</v>
      </c>
      <c r="I91" s="2519">
        <f>130230.547318+100000-516745600/10000</f>
        <v>178555.987318</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8" t="s">
        <v>2288</v>
      </c>
      <c r="C92" s="224">
        <f>ROUND((C87+C90+C91)*D92,0)</f>
        <v>24527</v>
      </c>
      <c r="D92" s="225">
        <v>0.1</v>
      </c>
      <c r="E92" s="3091" t="s">
        <v>2289</v>
      </c>
      <c r="F92" s="3092"/>
      <c r="G92" s="3092"/>
      <c r="H92" s="310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8" t="s">
        <v>2272</v>
      </c>
      <c r="C93" s="224">
        <f ca="1">ROUND(D45*D93/(1+'数据-取费表'!C42),0)</f>
        <v>3912</v>
      </c>
      <c r="D93" s="225">
        <f>'数据-取费表'!B43</f>
        <v>6.000000000000001E-3</v>
      </c>
      <c r="E93" s="3091" t="s">
        <v>2273</v>
      </c>
      <c r="F93" s="3092"/>
      <c r="G93" s="3092"/>
      <c r="H93" s="310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8" t="s">
        <v>2292</v>
      </c>
      <c r="C94" s="235">
        <f>ROUND((C87+C90+C91)*D94,0)</f>
        <v>49054</v>
      </c>
      <c r="D94" s="225">
        <v>0.2</v>
      </c>
      <c r="E94" s="3102" t="s">
        <v>2293</v>
      </c>
      <c r="F94" s="3103"/>
      <c r="G94" s="3103"/>
      <c r="H94" s="310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2274</v>
      </c>
      <c r="C95" s="206">
        <f ca="1">ROUND(C85-C86,0)</f>
        <v>329210</v>
      </c>
      <c r="D95" s="200"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2275</v>
      </c>
      <c r="C96" s="226">
        <f ca="1">IF(C95&lt;=0,0,C95/C86)</f>
        <v>1.019968754961188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2276</v>
      </c>
      <c r="C97" s="227">
        <f ca="1">ROUND(IF(C95&lt;=0,0,IF(C96&gt;=200%,C95*60%-C86*35%,IF(C96&gt;=100%,C95*50%-C86*15%,IF(C96&gt;=50%,C95*40%-C86*5%,IF(C96&lt;50%,C95*30%,0))))),0)</f>
        <v>116190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6" t="s">
        <v>2295</v>
      </c>
      <c r="B100" s="3077"/>
      <c r="C100" s="3077"/>
      <c r="D100" s="3093"/>
      <c r="E100" s="3077" t="s">
        <v>2296</v>
      </c>
      <c r="F100" s="3077"/>
      <c r="G100" s="3077"/>
      <c r="H100" s="3093"/>
      <c r="I100" s="138"/>
    </row>
    <row r="101" spans="1:35" ht="18.75" customHeight="1">
      <c r="A101" s="3155" t="s">
        <v>2297</v>
      </c>
      <c r="B101" s="3156"/>
      <c r="C101" s="735" t="str">
        <f>C4</f>
        <v>比较法-办公</v>
      </c>
      <c r="D101" s="736" t="str">
        <f>D4</f>
        <v>收益法（汇总）</v>
      </c>
      <c r="E101" s="3169" t="s">
        <v>2298</v>
      </c>
      <c r="F101" s="3123"/>
      <c r="G101" s="2520" t="s">
        <v>2299</v>
      </c>
      <c r="H101" s="1046">
        <f ca="1">H118</f>
        <v>855718</v>
      </c>
      <c r="I101" s="138"/>
    </row>
    <row r="102" spans="1:35" ht="18.75" customHeight="1">
      <c r="A102" s="3125" t="s">
        <v>2300</v>
      </c>
      <c r="B102" s="2520" t="s">
        <v>2299</v>
      </c>
      <c r="C102" s="735">
        <f ca="1">C19</f>
        <v>939485</v>
      </c>
      <c r="D102" s="736">
        <f ca="1">D19</f>
        <v>771951</v>
      </c>
      <c r="E102" s="3169"/>
      <c r="F102" s="3123"/>
      <c r="G102" s="2520" t="s">
        <v>2301</v>
      </c>
      <c r="H102" s="370">
        <f ca="1">I118</f>
        <v>51493</v>
      </c>
      <c r="I102" s="138"/>
    </row>
    <row r="103" spans="1:35" ht="42.75" customHeight="1">
      <c r="A103" s="3125"/>
      <c r="B103" s="2520" t="s">
        <v>2301</v>
      </c>
      <c r="C103" s="737">
        <f ca="1">C20</f>
        <v>56534</v>
      </c>
      <c r="D103" s="738">
        <f ca="1">D20</f>
        <v>46453</v>
      </c>
      <c r="E103" s="3164" t="s">
        <v>2302</v>
      </c>
      <c r="F103" s="3165"/>
      <c r="G103" s="2521" t="s">
        <v>2303</v>
      </c>
      <c r="H103" s="1046">
        <f>IF(D36="正常操作",H104+H105+H106,H105+H106)</f>
        <v>0</v>
      </c>
      <c r="I103" s="138"/>
    </row>
    <row r="104" spans="1:35" ht="18.75" customHeight="1">
      <c r="A104" s="3125" t="s">
        <v>2304</v>
      </c>
      <c r="B104" s="2522" t="s">
        <v>2299</v>
      </c>
      <c r="C104" s="739">
        <f ca="1">H118</f>
        <v>855718</v>
      </c>
      <c r="D104" s="740"/>
      <c r="E104" s="2266" t="s">
        <v>2305</v>
      </c>
      <c r="F104" s="2258"/>
      <c r="G104" s="2521" t="s">
        <v>2303</v>
      </c>
      <c r="H104" s="1047">
        <f>IF(D36="同一抵押权人同一抵押物续贷",C36&amp;"（未扣减，详见特别提示）",C36)</f>
        <v>0</v>
      </c>
      <c r="I104" s="138"/>
    </row>
    <row r="105" spans="1:35" ht="18.75" customHeight="1" thickBot="1">
      <c r="A105" s="3126"/>
      <c r="B105" s="2523" t="s">
        <v>2301</v>
      </c>
      <c r="C105" s="741">
        <f ca="1">I118</f>
        <v>51493</v>
      </c>
      <c r="D105" s="742"/>
      <c r="E105" s="2266" t="s">
        <v>2306</v>
      </c>
      <c r="F105" s="2258"/>
      <c r="G105" s="2521" t="s">
        <v>2303</v>
      </c>
      <c r="H105" s="1047">
        <f>C37</f>
        <v>0</v>
      </c>
      <c r="I105" s="138"/>
    </row>
    <row r="106" spans="1:35" ht="18.75" customHeight="1">
      <c r="A106" s="2418" t="s">
        <v>2307</v>
      </c>
      <c r="B106" s="2418"/>
      <c r="C106" s="2418"/>
      <c r="D106" s="2418"/>
      <c r="E106" s="2524" t="s">
        <v>2308</v>
      </c>
      <c r="F106" s="2258"/>
      <c r="G106" s="2521" t="s">
        <v>2303</v>
      </c>
      <c r="H106" s="1047">
        <f>C38</f>
        <v>0</v>
      </c>
      <c r="I106" s="138"/>
    </row>
    <row r="107" spans="1:35" ht="18.75" customHeight="1">
      <c r="A107" s="138"/>
      <c r="B107" s="138"/>
      <c r="C107" s="138"/>
      <c r="D107" s="138"/>
      <c r="E107" s="3122" t="str">
        <f>IF(项目基本情况!E8="已注销","——","3.房地产抵押价值")</f>
        <v>3.房地产抵押价值</v>
      </c>
      <c r="F107" s="3123"/>
      <c r="G107" s="2520" t="s">
        <v>2299</v>
      </c>
      <c r="H107" s="1046">
        <f ca="1">IF(E107="——","——",H101-H103)</f>
        <v>855718</v>
      </c>
      <c r="I107" s="138"/>
    </row>
    <row r="108" spans="1:35" ht="18.75" customHeight="1">
      <c r="A108" s="138"/>
      <c r="B108" s="138"/>
      <c r="C108" s="138"/>
      <c r="D108" s="138"/>
      <c r="E108" s="3122"/>
      <c r="F108" s="3123"/>
      <c r="G108" s="2520" t="s">
        <v>2301</v>
      </c>
      <c r="H108" s="370">
        <f ca="1">ROUND(H107*10000/'数据-汇总表'!E3,0)</f>
        <v>51493</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20" t="s">
        <v>2299</v>
      </c>
      <c r="H109" s="347" t="str">
        <f>IF(E109="——","——",H101-H105-H106)</f>
        <v>——</v>
      </c>
      <c r="I109" s="138"/>
    </row>
    <row r="110" spans="1:35" ht="18.75" customHeight="1">
      <c r="A110" s="138"/>
      <c r="B110" s="138"/>
      <c r="C110" s="138"/>
      <c r="D110" s="138"/>
      <c r="E110" s="3122"/>
      <c r="F110" s="3123"/>
      <c r="G110" s="2520" t="s">
        <v>2301</v>
      </c>
      <c r="H110" s="370"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20" t="s">
        <v>2299</v>
      </c>
      <c r="H111" s="1046" t="str">
        <f>IF(E111="——","——",N59)</f>
        <v>——</v>
      </c>
      <c r="I111" s="138"/>
    </row>
    <row r="112" spans="1:35" ht="18.75" customHeight="1" thickBot="1">
      <c r="A112" s="138"/>
      <c r="B112" s="138"/>
      <c r="C112" s="138"/>
      <c r="D112" s="138"/>
      <c r="E112" s="3159"/>
      <c r="F112" s="3160"/>
      <c r="G112" s="2525" t="s">
        <v>2301</v>
      </c>
      <c r="H112" s="789" t="str">
        <f>IF(E111="——","——",N61)</f>
        <v>——</v>
      </c>
      <c r="I112" s="138"/>
    </row>
    <row r="113" spans="1:11" ht="18.75" customHeight="1">
      <c r="A113" s="138"/>
      <c r="B113" s="138"/>
      <c r="C113" s="138"/>
      <c r="D113" s="138"/>
      <c r="E113" s="3127" t="s">
        <v>2307</v>
      </c>
      <c r="F113" s="3127"/>
      <c r="G113" s="3127"/>
      <c r="H113" s="3127"/>
      <c r="I113" s="138"/>
    </row>
    <row r="114" spans="1:11" ht="3.75" customHeight="1">
      <c r="A114" s="2418"/>
      <c r="B114" s="2418"/>
      <c r="C114" s="2418"/>
      <c r="D114" s="2418"/>
      <c r="E114" s="2496"/>
      <c r="F114" s="2496"/>
      <c r="G114" s="2496"/>
      <c r="H114" s="2496"/>
      <c r="I114" s="2418"/>
    </row>
    <row r="115" spans="1:11" ht="18.75" customHeight="1">
      <c r="A115" s="3140" t="s">
        <v>2309</v>
      </c>
      <c r="B115" s="3141"/>
      <c r="C115" s="3141"/>
      <c r="D115" s="3141"/>
      <c r="E115" s="3141"/>
      <c r="F115" s="3141"/>
      <c r="G115" s="3141"/>
      <c r="H115" s="3141"/>
      <c r="I115" s="3142"/>
    </row>
    <row r="116" spans="1:11" ht="27" customHeight="1">
      <c r="A116" s="3033" t="s">
        <v>2310</v>
      </c>
      <c r="B116" s="3128" t="s">
        <v>3062</v>
      </c>
      <c r="C116" s="3128" t="s">
        <v>3197</v>
      </c>
      <c r="D116" s="3144" t="s">
        <v>2311</v>
      </c>
      <c r="E116" s="3145"/>
      <c r="F116" s="3136" t="s">
        <v>3198</v>
      </c>
      <c r="G116" s="3136"/>
      <c r="H116" s="3033" t="s">
        <v>2312</v>
      </c>
      <c r="I116" s="3033"/>
    </row>
    <row r="117" spans="1:11" ht="18.75" customHeight="1">
      <c r="A117" s="3033"/>
      <c r="B117" s="3129"/>
      <c r="C117" s="3129"/>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166180.56000000003</v>
      </c>
      <c r="C118" s="1795">
        <f>M19</f>
        <v>14707</v>
      </c>
      <c r="D118" s="1795">
        <f ca="1">ROUND(IF(D32="总价",C34,E118*B118/10000),0)</f>
        <v>641546</v>
      </c>
      <c r="E118" s="1795">
        <f ca="1">ROUND(IF(C33="自定义",IF(D32="楼面单价",C34,D118*10000/B118),I118-G118),0)</f>
        <v>38605</v>
      </c>
      <c r="F118" s="1795">
        <f ca="1">ROUND(IF(D32="总价",C35,G118*B118/10000),0)</f>
        <v>214172</v>
      </c>
      <c r="G118" s="1795">
        <f ca="1">ROUND(IF(D32="楼面单价",C35,F118*10000/B118),0)</f>
        <v>12888</v>
      </c>
      <c r="H118" s="1795">
        <f ca="1">ROUND(IF(D32="总价",C32,I118*B118/10000),0)</f>
        <v>855718</v>
      </c>
      <c r="I118" s="1795">
        <f ca="1">ROUND(IF(D32="楼面单价",C32,H118*10000/B118),0)</f>
        <v>51493</v>
      </c>
    </row>
    <row r="119" spans="1:11" ht="18.75" customHeight="1">
      <c r="A119" s="3033" t="s">
        <v>2316</v>
      </c>
      <c r="B119" s="3033"/>
      <c r="C119" s="3033"/>
      <c r="D119" s="3133" t="str">
        <f ca="1">NUMBERSTRING(INT(D118*10000),2)&amp;"元整"</f>
        <v>陆拾肆亿壹仟伍佰肆拾陆万元整</v>
      </c>
      <c r="E119" s="3135"/>
      <c r="F119" s="3133" t="str">
        <f ca="1">NUMBERSTRING(INT(F118*10000),2)&amp;"元整"</f>
        <v>贰拾壹亿肆仟壹佰柒拾贰万元整</v>
      </c>
      <c r="G119" s="3135"/>
      <c r="H119" s="3133" t="str">
        <f ca="1">NUMBERSTRING(INT(H118*10000),2)&amp;"元整"</f>
        <v>捌拾伍亿伍仟柒佰壹拾捌万元整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3" t="str">
        <f>IF(D120=0,"故，本次评估不存在"&amp;A120,"故，本次评估"&amp;A120&amp;"为人民币"&amp;D120&amp;"万元整。")</f>
        <v>故，本次评估不存在估价师知悉的法定优先受偿款</v>
      </c>
    </row>
    <row r="121" spans="1:11" ht="18.75" customHeight="1">
      <c r="A121" s="3137" t="s">
        <v>2316</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855718</v>
      </c>
      <c r="E122" s="3162"/>
      <c r="F122" s="3162"/>
      <c r="G122" s="3162"/>
      <c r="H122" s="3162"/>
      <c r="I122" s="3163"/>
    </row>
    <row r="123" spans="1:11" ht="18.75" customHeight="1">
      <c r="A123" s="3033" t="s">
        <v>2316</v>
      </c>
      <c r="B123" s="3033"/>
      <c r="C123" s="3033"/>
      <c r="D123" s="3133" t="str">
        <f ca="1">NUMBERSTRING(INT(D122*10000),2)&amp;"元整"</f>
        <v>捌拾伍亿伍仟柒佰壹拾捌万元整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2316</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2316</v>
      </c>
      <c r="B127" s="3033"/>
      <c r="C127" s="3033"/>
      <c r="D127" s="3133" t="e">
        <f>NUMBERSTRING(INT(D126*10000),2)&amp;"元整"</f>
        <v>#VALUE!</v>
      </c>
      <c r="E127" s="3134"/>
      <c r="F127" s="3134"/>
      <c r="G127" s="3134"/>
      <c r="H127" s="3134"/>
      <c r="I127" s="3135"/>
    </row>
    <row r="128" spans="1:11" ht="21.75" customHeight="1">
      <c r="A128" s="3143" t="s">
        <v>2317</v>
      </c>
      <c r="B128" s="3143"/>
      <c r="C128" s="3143"/>
      <c r="D128" s="3143"/>
      <c r="E128" s="3143"/>
      <c r="F128" s="3143"/>
      <c r="G128" s="3143"/>
      <c r="H128" s="3143"/>
      <c r="I128" s="3143"/>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2320</v>
      </c>
      <c r="G135" s="2544"/>
      <c r="H135" s="2544"/>
      <c r="I135" s="2545" t="s">
        <v>2321</v>
      </c>
    </row>
    <row r="136" spans="1:35" ht="21.75" customHeight="1">
      <c r="A136" s="794"/>
      <c r="B136" s="2546"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2323</v>
      </c>
    </row>
    <row r="139" spans="1:35" ht="21.75" customHeight="1">
      <c r="A139" s="794"/>
      <c r="B139" s="2546" t="s">
        <v>2324</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2323</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I13" sqref="I13"/>
    </sheetView>
  </sheetViews>
  <sheetFormatPr defaultRowHeight="13.5"/>
  <cols>
    <col min="2" max="2" width="12.625" customWidth="1"/>
    <col min="3" max="3" width="13.625" customWidth="1"/>
    <col min="4" max="4" width="12" customWidth="1"/>
    <col min="6" max="6" width="11.75" customWidth="1"/>
  </cols>
  <sheetData>
    <row r="2" spans="2:12">
      <c r="B2" t="s">
        <v>3061</v>
      </c>
      <c r="C2" t="s">
        <v>3062</v>
      </c>
      <c r="E2" s="2954" t="s">
        <v>3076</v>
      </c>
      <c r="H2" s="2954" t="s">
        <v>3196</v>
      </c>
    </row>
    <row r="3" spans="2:12">
      <c r="B3" t="s">
        <v>3063</v>
      </c>
      <c r="C3">
        <v>18009.099999999999</v>
      </c>
      <c r="E3">
        <v>7188.73</v>
      </c>
      <c r="F3">
        <v>84417.52</v>
      </c>
      <c r="G3">
        <f>F3</f>
        <v>84417.52</v>
      </c>
      <c r="H3">
        <f>ROUND(E3*G3/F3,2)</f>
        <v>7188.73</v>
      </c>
    </row>
    <row r="4" spans="2:12">
      <c r="B4" t="s">
        <v>3064</v>
      </c>
      <c r="C4">
        <v>13901.44</v>
      </c>
      <c r="E4">
        <v>4005.53</v>
      </c>
      <c r="F4">
        <v>48150.02</v>
      </c>
      <c r="G4">
        <v>37354.519999999997</v>
      </c>
      <c r="H4">
        <f t="shared" ref="H4:H5" si="0">ROUND(E4*G4/F4,2)</f>
        <v>3107.47</v>
      </c>
    </row>
    <row r="5" spans="2:12">
      <c r="B5" t="s">
        <v>3065</v>
      </c>
      <c r="C5">
        <v>5325.9400000000005</v>
      </c>
      <c r="E5">
        <v>4410.8</v>
      </c>
      <c r="F5">
        <v>44408.52</v>
      </c>
      <c r="G5">
        <f>F5</f>
        <v>44408.52</v>
      </c>
      <c r="H5">
        <f t="shared" si="0"/>
        <v>4410.8</v>
      </c>
    </row>
    <row r="6" spans="2:12">
      <c r="B6" t="s">
        <v>3066</v>
      </c>
      <c r="C6">
        <v>6105.02</v>
      </c>
      <c r="E6">
        <f>SUM(E3:E5)</f>
        <v>15605.060000000001</v>
      </c>
      <c r="F6">
        <f>SUM(F3:F5)</f>
        <v>176976.06</v>
      </c>
      <c r="G6">
        <f>SUM(G3:G5)</f>
        <v>166180.56</v>
      </c>
      <c r="H6">
        <f>SUM(H3:H5)</f>
        <v>14707</v>
      </c>
    </row>
    <row r="7" spans="2:12">
      <c r="B7" t="s">
        <v>3067</v>
      </c>
      <c r="C7">
        <v>2267.67</v>
      </c>
    </row>
    <row r="8" spans="2:12">
      <c r="B8" t="s">
        <v>3068</v>
      </c>
      <c r="C8">
        <v>6110.97</v>
      </c>
    </row>
    <row r="9" spans="2:12">
      <c r="B9" t="s">
        <v>3069</v>
      </c>
      <c r="C9">
        <v>7734.05</v>
      </c>
      <c r="I9">
        <f ca="1">结果表!C32</f>
        <v>855718</v>
      </c>
      <c r="J9">
        <f ca="1">'收益法（汇总）'!B2</f>
        <v>771951</v>
      </c>
    </row>
    <row r="10" spans="2:12">
      <c r="B10" t="s">
        <v>27</v>
      </c>
      <c r="C10">
        <v>72895.550000000017</v>
      </c>
      <c r="H10" s="2954" t="s">
        <v>3200</v>
      </c>
      <c r="I10">
        <f ca="1">ROUND(I9*L10,0)</f>
        <v>214172</v>
      </c>
      <c r="J10">
        <f ca="1">'收益法（1层商业）'!C75+'收益法 (地下商业)'!C75+'收益法 (办公)'!C75+'收益法 (地下车库)'!C75</f>
        <v>9718</v>
      </c>
      <c r="K10">
        <f ca="1">'收益法（1层商业）'!C39+'收益法 (地下商业)'!C39+'收益法 (办公)'!C39+'收益法 (地下车库)'!C39</f>
        <v>38828</v>
      </c>
      <c r="L10" s="2979">
        <f ca="1">J10/K10</f>
        <v>0.25028330071082722</v>
      </c>
    </row>
    <row r="11" spans="2:12">
      <c r="B11" t="s">
        <v>3070</v>
      </c>
      <c r="C11">
        <v>32281.690000000002</v>
      </c>
      <c r="H11" s="2954" t="s">
        <v>3199</v>
      </c>
      <c r="I11">
        <f ca="1">ROUND(I9*L11,0)</f>
        <v>641546</v>
      </c>
      <c r="L11" s="2978">
        <f ca="1">1-L10</f>
        <v>0.74971669928917284</v>
      </c>
    </row>
    <row r="12" spans="2:12">
      <c r="B12" t="s">
        <v>3071</v>
      </c>
      <c r="C12">
        <v>1549.13</v>
      </c>
    </row>
    <row r="13" spans="2:12">
      <c r="C13">
        <f>SUM(C3:C12)</f>
        <v>166180.56000000003</v>
      </c>
    </row>
    <row r="18" spans="1:5">
      <c r="C18">
        <v>84417.52</v>
      </c>
      <c r="D18">
        <f>ROUND(1-(2018-2007)/60,2)</f>
        <v>0.82</v>
      </c>
    </row>
    <row r="19" spans="1:5">
      <c r="C19">
        <f>37354.52+44408.52</f>
        <v>81763.039999999994</v>
      </c>
      <c r="D19">
        <f>ROUND(1-(2018-2003)/60,2)</f>
        <v>0.75</v>
      </c>
    </row>
    <row r="20" spans="1:5">
      <c r="C20">
        <f>SUM(C18:C19)</f>
        <v>166180.56</v>
      </c>
      <c r="D20">
        <f>C18*D18+C19*D19</f>
        <v>130544.6464</v>
      </c>
      <c r="E20">
        <f>ROUND(D20/C20,2)</f>
        <v>0.79</v>
      </c>
    </row>
    <row r="23" spans="1:5">
      <c r="C23">
        <f ca="1">'收益法（汇总）'!B6+'收益法（汇总）'!B9</f>
        <v>116132</v>
      </c>
      <c r="D23">
        <f>'收益法（汇总）'!E6+'收益法（汇总）'!E9</f>
        <v>37586.870000000003</v>
      </c>
      <c r="E23">
        <f ca="1">C23/D23*10000</f>
        <v>30896.959496760435</v>
      </c>
    </row>
    <row r="25" spans="1:5">
      <c r="A25" s="2954" t="s">
        <v>3209</v>
      </c>
      <c r="B25" s="2954" t="s">
        <v>3208</v>
      </c>
      <c r="C25" s="2954" t="s">
        <v>3202</v>
      </c>
      <c r="D25" s="2954" t="s">
        <v>3205</v>
      </c>
    </row>
    <row r="26" spans="1:5">
      <c r="A26">
        <v>1</v>
      </c>
      <c r="B26" s="2954" t="s">
        <v>3201</v>
      </c>
      <c r="C26" s="2954" t="s">
        <v>3211</v>
      </c>
      <c r="D26">
        <f>'数据-基础表'!I13+'数据-基础表'!O13</f>
        <v>37236.480000000003</v>
      </c>
    </row>
    <row r="27" spans="1:5">
      <c r="A27">
        <v>2</v>
      </c>
      <c r="B27" s="2954" t="s">
        <v>3203</v>
      </c>
      <c r="C27" s="2954" t="s">
        <v>3212</v>
      </c>
      <c r="D27">
        <f>'数据-基础表'!K13</f>
        <v>95113.260000000009</v>
      </c>
    </row>
    <row r="28" spans="1:5">
      <c r="A28">
        <v>3</v>
      </c>
      <c r="B28" s="2954" t="s">
        <v>3204</v>
      </c>
      <c r="C28" s="2954" t="s">
        <v>3213</v>
      </c>
      <c r="D28">
        <f>'数据-基础表'!M13</f>
        <v>32281.690000000002</v>
      </c>
    </row>
    <row r="29" spans="1:5">
      <c r="A29">
        <v>4</v>
      </c>
      <c r="B29" s="2954" t="s">
        <v>3206</v>
      </c>
      <c r="C29" s="2954" t="s">
        <v>3207</v>
      </c>
      <c r="D29">
        <f>'数据-基础表'!AN13</f>
        <v>1549.13</v>
      </c>
    </row>
    <row r="30" spans="1:5">
      <c r="A30" s="2954" t="s">
        <v>3210</v>
      </c>
      <c r="B30" s="2954" t="s">
        <v>3207</v>
      </c>
      <c r="C30" s="2954" t="s">
        <v>3207</v>
      </c>
      <c r="D30">
        <f>SUM(D26:D29)</f>
        <v>166180.56000000003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9" t="str">
        <f>项目基本情况!B1</f>
        <v>北京市房地产抵押价值预评估</v>
      </c>
      <c r="C37" s="2989"/>
      <c r="D37" s="2989"/>
      <c r="E37" s="2989"/>
      <c r="F37" s="2989"/>
      <c r="G37" s="2989"/>
      <c r="H37" s="2989"/>
      <c r="I37" s="2989"/>
    </row>
    <row r="38" spans="1:9">
      <c r="A38" s="1017"/>
      <c r="B38" s="1017"/>
    </row>
    <row r="39" spans="1:9">
      <c r="A39" s="1015" t="s">
        <v>818</v>
      </c>
      <c r="B39" s="1015" t="s">
        <v>820</v>
      </c>
    </row>
    <row r="40" spans="1:9">
      <c r="A40" s="1015"/>
      <c r="B40" s="1942" t="str">
        <f>项目基本情况!B5</f>
        <v>兴业银行股份有限公司安华支行</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吴薇（注册号：1419970001)、崔锴（注册号：1120100036)</v>
      </c>
    </row>
    <row r="47" spans="1:9">
      <c r="A47" s="1015"/>
      <c r="B47" s="1015" t="str">
        <f>项目基本情况!K5</f>
        <v/>
      </c>
    </row>
    <row r="48" spans="1:9">
      <c r="A48" s="1015" t="s">
        <v>818</v>
      </c>
      <c r="B48" s="1015" t="s">
        <v>824</v>
      </c>
    </row>
    <row r="49" spans="2:2">
      <c r="B49" s="1942" t="str">
        <f>"康正预评字"&amp;项目基本情况!B2&amp;"号"</f>
        <v>康正预评字2019-1-0009-P01DYGJ1号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39" sqref="I3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7"/>
      <c r="C1" s="241"/>
      <c r="D1" s="241"/>
      <c r="E1" s="241"/>
      <c r="F1" s="241"/>
      <c r="G1" s="1380">
        <f>MATCH(B1,'数据-取费表'!A6:A16,0)+5</f>
        <v>10</v>
      </c>
    </row>
    <row r="2" spans="1:9" s="243" customFormat="1" ht="18" customHeight="1">
      <c r="A2" s="244" t="s">
        <v>2326</v>
      </c>
      <c r="B2" s="245">
        <f ca="1">IF(D2="——",C52,C52-E2)</f>
        <v>116933</v>
      </c>
      <c r="C2" s="242" t="s">
        <v>2327</v>
      </c>
      <c r="D2" s="2549" t="s">
        <v>70</v>
      </c>
      <c r="E2" s="1441" t="e">
        <f ca="1">SUMIF(INDIRECT("'"&amp;G2&amp;"'"&amp;"!A:A"),"承租人权益价值",INDIRECT("'"&amp;G2&amp;"'"&amp;"!c:c"))</f>
        <v>#REF!</v>
      </c>
      <c r="F2" s="2550" t="s">
        <v>2327</v>
      </c>
      <c r="G2" s="2551"/>
    </row>
    <row r="3" spans="1:9" s="243" customFormat="1" ht="18" customHeight="1" thickBot="1">
      <c r="A3" s="246" t="s">
        <v>2328</v>
      </c>
      <c r="B3" s="247">
        <f ca="1">ROUND(B2*10000/(IF(B1="",'数据-汇总表'!E3,INDIRECT("'数据-取费表'!k"&amp;$G$1))),0)</f>
        <v>7037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50" t="s">
        <v>2336</v>
      </c>
      <c r="B6" s="258" t="s">
        <v>2337</v>
      </c>
      <c r="C6" s="259"/>
      <c r="D6" s="260"/>
      <c r="E6" s="261"/>
      <c r="F6" s="261"/>
      <c r="G6" s="262"/>
    </row>
    <row r="7" spans="1:9" s="257" customFormat="1" ht="13.5" customHeight="1">
      <c r="A7" s="950" t="s">
        <v>2338</v>
      </c>
      <c r="B7" s="258" t="s">
        <v>2339</v>
      </c>
      <c r="C7" s="263">
        <f>ROUND(C6*F7,0)</f>
        <v>0</v>
      </c>
      <c r="D7" s="263"/>
      <c r="E7" s="261"/>
      <c r="F7" s="264">
        <f>'数据-取费表'!B48+'数据-取费表'!B49</f>
        <v>3.0499999999999999E-2</v>
      </c>
      <c r="G7" s="262"/>
    </row>
    <row r="8" spans="1:9" s="266" customFormat="1">
      <c r="A8" s="950" t="s">
        <v>2340</v>
      </c>
      <c r="B8" s="258" t="s">
        <v>2341</v>
      </c>
      <c r="C8" s="263">
        <f>IF(G8="已包含在土地购买价格中","0",IF(B1="",'数据-取费表'!B29,IF(G9="全部缴纳",C9+C10,H9)))</f>
        <v>0</v>
      </c>
      <c r="D8" s="265"/>
      <c r="E8" s="263"/>
      <c r="F8" s="264"/>
      <c r="G8" s="2552"/>
    </row>
    <row r="9" spans="1:9" s="257" customFormat="1" ht="13.5" customHeight="1">
      <c r="A9" s="951" t="s">
        <v>800</v>
      </c>
      <c r="B9" s="267" t="s">
        <v>2342</v>
      </c>
      <c r="C9" s="268">
        <f ca="1">ROUND(D9*E9/10000,0)</f>
        <v>0</v>
      </c>
      <c r="D9" s="1033">
        <f ca="1">IF(B1="",'数据-汇总表'!E5,IF(INDIRECT("'数据-取费表'!c"&amp;$G$1)="住宅",INDIRECT("'数据-取费表'!k"&amp;$G$1),0))</f>
        <v>0</v>
      </c>
      <c r="E9" s="268">
        <f>'数据-取费表'!B27</f>
        <v>160</v>
      </c>
      <c r="F9" s="264"/>
      <c r="G9" s="2553"/>
      <c r="H9" s="1391"/>
      <c r="I9" s="2554" t="s">
        <v>2343</v>
      </c>
    </row>
    <row r="10" spans="1:9" s="257" customFormat="1" ht="13.5" customHeight="1">
      <c r="A10" s="951" t="s">
        <v>801</v>
      </c>
      <c r="B10" s="267" t="s">
        <v>2344</v>
      </c>
      <c r="C10" s="268">
        <f ca="1">ROUND(D10*E10/10000,0)</f>
        <v>3324</v>
      </c>
      <c r="D10" s="1033">
        <f ca="1">IF(B1="",'数据-汇总表'!E6,IF(INDIRECT("'数据-取费表'!c"&amp;$G$1)="住宅",INDIRECT("'数据-取费表'!s"&amp;$G$1),INDIRECT("'数据-取费表'!k"&amp;$G$1)+INDIRECT("'数据-取费表'!s"&amp;$G$1)))</f>
        <v>166180.56000000003</v>
      </c>
      <c r="E10" s="268">
        <f>'数据-取费表'!B28</f>
        <v>200</v>
      </c>
      <c r="F10" s="264"/>
      <c r="G10" s="269"/>
    </row>
    <row r="11" spans="1:9" s="257" customFormat="1" ht="13.5" hidden="1" customHeight="1">
      <c r="A11" s="270" t="s">
        <v>7</v>
      </c>
      <c r="B11" s="258" t="s">
        <v>2345</v>
      </c>
      <c r="C11" s="254"/>
      <c r="D11" s="1035"/>
      <c r="E11" s="261"/>
      <c r="F11" s="261"/>
      <c r="G11" s="262"/>
    </row>
    <row r="12" spans="1:9" s="257" customFormat="1" ht="13.5" hidden="1" customHeight="1">
      <c r="A12" s="270" t="s">
        <v>8</v>
      </c>
      <c r="B12" s="258" t="s">
        <v>2346</v>
      </c>
      <c r="C12" s="254">
        <v>0</v>
      </c>
      <c r="D12" s="1035"/>
      <c r="E12" s="271"/>
      <c r="F12" s="264">
        <v>3.0499999999999999E-2</v>
      </c>
      <c r="G12" s="262"/>
    </row>
    <row r="13" spans="1:9" s="257" customFormat="1" ht="13.5" hidden="1" customHeight="1">
      <c r="A13" s="270" t="s">
        <v>9</v>
      </c>
      <c r="B13" s="258" t="s">
        <v>2347</v>
      </c>
      <c r="C13" s="254"/>
      <c r="D13" s="1035"/>
      <c r="E13" s="261"/>
      <c r="F13" s="261"/>
      <c r="G13" s="262"/>
    </row>
    <row r="14" spans="1:9" s="257" customFormat="1" ht="13.5" hidden="1" customHeight="1">
      <c r="A14" s="270" t="s">
        <v>10</v>
      </c>
      <c r="B14" s="258" t="s">
        <v>2348</v>
      </c>
      <c r="C14" s="254"/>
      <c r="D14" s="1035"/>
      <c r="E14" s="261"/>
      <c r="F14" s="261"/>
      <c r="G14" s="262" t="s">
        <v>2349</v>
      </c>
    </row>
    <row r="15" spans="1:9" s="257" customFormat="1" ht="13.5" hidden="1" customHeight="1">
      <c r="A15" s="270" t="s">
        <v>11</v>
      </c>
      <c r="B15" s="258" t="s">
        <v>2350</v>
      </c>
      <c r="C15" s="263"/>
      <c r="D15" s="1035"/>
      <c r="E15" s="261"/>
      <c r="F15" s="261"/>
      <c r="G15" s="262" t="s">
        <v>2351</v>
      </c>
    </row>
    <row r="16" spans="1:9" s="257" customFormat="1" ht="13.5" hidden="1" customHeight="1">
      <c r="A16" s="270" t="s">
        <v>12</v>
      </c>
      <c r="B16" s="258" t="s">
        <v>2348</v>
      </c>
      <c r="C16" s="263"/>
      <c r="D16" s="1035"/>
      <c r="E16" s="261"/>
      <c r="F16" s="261"/>
      <c r="G16" s="262"/>
    </row>
    <row r="17" spans="1:7" s="257" customFormat="1" ht="13.5" hidden="1" customHeight="1">
      <c r="A17" s="270" t="s">
        <v>13</v>
      </c>
      <c r="B17" s="258" t="s">
        <v>2352</v>
      </c>
      <c r="C17" s="272"/>
      <c r="D17" s="1036"/>
      <c r="E17" s="272"/>
      <c r="F17" s="272"/>
      <c r="G17" s="262" t="s">
        <v>2351</v>
      </c>
    </row>
    <row r="18" spans="1:7" s="257" customFormat="1" ht="13.5" hidden="1" customHeight="1">
      <c r="A18" s="270" t="s">
        <v>14</v>
      </c>
      <c r="B18" s="258" t="s">
        <v>2353</v>
      </c>
      <c r="C18" s="263">
        <v>0</v>
      </c>
      <c r="D18" s="1035"/>
      <c r="E18" s="261"/>
      <c r="F18" s="264">
        <v>3.0499999999999999E-2</v>
      </c>
      <c r="G18" s="262" t="s">
        <v>2354</v>
      </c>
    </row>
    <row r="19" spans="1:7" s="266" customFormat="1" ht="13.5" customHeight="1">
      <c r="A19" s="298" t="s">
        <v>2355</v>
      </c>
      <c r="B19" s="253" t="s">
        <v>2356</v>
      </c>
      <c r="C19" s="254">
        <f ca="1">IF(G19="已包含在土地取得成本中","0",ROUND(D19*E19/10000,0))</f>
        <v>3324</v>
      </c>
      <c r="D19" s="1037">
        <f ca="1">D9+D10</f>
        <v>166180.56000000003</v>
      </c>
      <c r="E19" s="254">
        <f>'数据-取费表'!B31</f>
        <v>200</v>
      </c>
      <c r="F19" s="274"/>
      <c r="G19" s="2552"/>
    </row>
    <row r="20" spans="1:7" s="257" customFormat="1" ht="13.5" customHeight="1">
      <c r="A20" s="298" t="s">
        <v>2357</v>
      </c>
      <c r="B20" s="253" t="s">
        <v>2358</v>
      </c>
      <c r="C20" s="275">
        <f ca="1">ROUND((C5+C19)*F20,0)</f>
        <v>66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5">
        <f ca="1">ROUND(SUM(C23:C25),0)</f>
        <v>326</v>
      </c>
      <c r="D22" s="278">
        <f ca="1">C26</f>
        <v>1E-3</v>
      </c>
      <c r="E22" s="279" t="s">
        <v>2362</v>
      </c>
      <c r="F22" s="280">
        <f ca="1">'数据-取费表'!B40</f>
        <v>4.7500000000000001E-2</v>
      </c>
      <c r="G22" s="277" t="str">
        <f>IF('数据-取费表'!B22&lt;=1,"单利计息","复利计息")</f>
        <v>复利计息</v>
      </c>
    </row>
    <row r="23" spans="1:7" s="257" customFormat="1" ht="13.5" customHeight="1">
      <c r="A23" s="952" t="s">
        <v>2366</v>
      </c>
      <c r="B23" s="258" t="s">
        <v>2367</v>
      </c>
      <c r="C23" s="1356">
        <f ca="1">ROUND(IF('数据-取费表'!B22&lt;=1,C5*F22*'数据-取费表'!B23,C5*(POWER((1+F22),'数据-取费表'!B23)-1)),0)</f>
        <v>0</v>
      </c>
      <c r="D23" s="281"/>
      <c r="E23" s="281"/>
      <c r="F23" s="282"/>
      <c r="G23" s="283" t="s">
        <v>2368</v>
      </c>
    </row>
    <row r="24" spans="1:7" s="257" customFormat="1" ht="13.5" customHeight="1">
      <c r="A24" s="952" t="s">
        <v>2369</v>
      </c>
      <c r="B24" s="258" t="s">
        <v>2370</v>
      </c>
      <c r="C24" s="1356">
        <f ca="1">ROUND(IF('数据-取费表'!B22&lt;=1,C19*F22*('数据-取费表'!B19/2+'数据-取费表'!B21),C19*(POWER((1+F22),('数据-取费表'!B19/2+'数据-取费表'!B21))-1)),0)</f>
        <v>323</v>
      </c>
      <c r="D24" s="281"/>
      <c r="E24" s="281"/>
      <c r="F24" s="282"/>
      <c r="G24" s="283" t="s">
        <v>2371</v>
      </c>
    </row>
    <row r="25" spans="1:7" s="257" customFormat="1" ht="24">
      <c r="A25" s="952" t="s">
        <v>2372</v>
      </c>
      <c r="B25" s="258" t="s">
        <v>2373</v>
      </c>
      <c r="C25" s="1356">
        <f ca="1">ROUND(IF('数据-取费表'!B22&lt;=1,C20*F22*'数据-取费表'!B23/2,C20*(POWER((1+F22),'数据-取费表'!B23/2)-1)),0)</f>
        <v>3</v>
      </c>
      <c r="D25" s="281"/>
      <c r="E25" s="284"/>
      <c r="F25" s="282"/>
      <c r="G25" s="285" t="s">
        <v>2374</v>
      </c>
    </row>
    <row r="26" spans="1:7" s="257" customFormat="1">
      <c r="A26" s="952"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542</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ROUND((C5+C19+C20)*F27*'数据-取费表'!B21/'数据-取费表'!B20,0)</f>
        <v>542</v>
      </c>
      <c r="D28" s="278"/>
      <c r="E28" s="279"/>
      <c r="F28" s="289"/>
      <c r="G28" s="290"/>
    </row>
    <row r="29" spans="1:7" s="257" customFormat="1" ht="13.5" customHeight="1">
      <c r="A29" s="952" t="s">
        <v>792</v>
      </c>
      <c r="B29" s="291" t="s">
        <v>2381</v>
      </c>
      <c r="C29" s="281">
        <f ca="1">ROUND(C21*F27*'数据-取费表'!B21/'数据-取费表'!B20,4)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4616</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98971</v>
      </c>
      <c r="D33" s="275"/>
      <c r="E33" s="255"/>
      <c r="F33" s="284"/>
      <c r="G33" s="277"/>
    </row>
    <row r="34" spans="1:7" s="301" customFormat="1" ht="13.5" customHeight="1">
      <c r="A34" s="952" t="s">
        <v>791</v>
      </c>
      <c r="B34" s="258" t="s">
        <v>2389</v>
      </c>
      <c r="C34" s="263">
        <f ca="1">IF(B1="",IF(F34=100%,'数据-取费表'!M16,'数据-取费表'!O16),IF(F34=100%,INDIRECT("'数据-取费表'!m"&amp;$G$1)+INDIRECT("'数据-取费表'!t"&amp;$G$1),INDIRECT("'数据-取费表'!o"&amp;$G$1)+INDIRECT("'数据-取费表'!aq"&amp;$G$1)))</f>
        <v>91528</v>
      </c>
      <c r="D34" s="260"/>
      <c r="E34" s="263"/>
      <c r="F34" s="300">
        <f ca="1">IF('数据-取费表'!B24=0,1,IF(B1="",'数据-取费表'!N16,INDIRECT("'数据-取费表'!n"&amp;$G$1)))</f>
        <v>1</v>
      </c>
      <c r="G34" s="262" t="s">
        <v>2390</v>
      </c>
    </row>
    <row r="35" spans="1:7" ht="13.5" customHeight="1">
      <c r="A35" s="952" t="s">
        <v>796</v>
      </c>
      <c r="B35" s="258" t="s">
        <v>2391</v>
      </c>
      <c r="C35" s="263">
        <f ca="1">ROUND(C34*F35,0)</f>
        <v>2746</v>
      </c>
      <c r="D35" s="263"/>
      <c r="E35" s="263"/>
      <c r="F35" s="302">
        <f>'数据-取费表'!B33</f>
        <v>0.03</v>
      </c>
      <c r="G35" s="262" t="s">
        <v>2392</v>
      </c>
    </row>
    <row r="36" spans="1:7" ht="24">
      <c r="A36" s="952"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2" t="s">
        <v>798</v>
      </c>
      <c r="B37" s="258" t="s">
        <v>2395</v>
      </c>
      <c r="C37" s="292">
        <f ca="1">ROUND(E37*D37*F34/10000,0)</f>
        <v>3324</v>
      </c>
      <c r="D37" s="260">
        <f ca="1">D19</f>
        <v>166180.56000000003</v>
      </c>
      <c r="E37" s="292">
        <f>'数据-取费表'!B35</f>
        <v>200</v>
      </c>
      <c r="F37" s="302"/>
      <c r="G37" s="304" t="s">
        <v>2396</v>
      </c>
    </row>
    <row r="38" spans="1:7" ht="13.5" customHeight="1">
      <c r="A38" s="952" t="s">
        <v>799</v>
      </c>
      <c r="B38" s="258" t="s">
        <v>2397</v>
      </c>
      <c r="C38" s="263">
        <f ca="1">ROUND(C34*F38,0)</f>
        <v>1373</v>
      </c>
      <c r="D38" s="263"/>
      <c r="E38" s="263"/>
      <c r="F38" s="302">
        <f>'数据-取费表'!B36</f>
        <v>1.4999999999999999E-2</v>
      </c>
      <c r="G38" s="262" t="s">
        <v>2392</v>
      </c>
    </row>
    <row r="39" spans="1:7" s="257" customFormat="1" ht="13.5" customHeight="1">
      <c r="A39" s="298" t="s">
        <v>2398</v>
      </c>
      <c r="B39" s="253" t="s">
        <v>2399</v>
      </c>
      <c r="C39" s="275">
        <f ca="1">ROUND(C33*F20,0)</f>
        <v>1979</v>
      </c>
      <c r="D39" s="275"/>
      <c r="E39" s="275"/>
      <c r="F39" s="276"/>
      <c r="G39" s="277" t="s">
        <v>2400</v>
      </c>
    </row>
    <row r="40" spans="1:7" s="257" customFormat="1" ht="13.5" customHeight="1">
      <c r="A40" s="298" t="s">
        <v>2401</v>
      </c>
      <c r="B40" s="253" t="s">
        <v>2402</v>
      </c>
      <c r="C40" s="1728">
        <f>F21</f>
        <v>0.02</v>
      </c>
      <c r="D40" s="279" t="s">
        <v>2403</v>
      </c>
      <c r="E40" s="275"/>
      <c r="F40" s="276"/>
      <c r="G40" s="277" t="s">
        <v>2404</v>
      </c>
    </row>
    <row r="41" spans="1:7" s="257" customFormat="1" ht="13.5" customHeight="1">
      <c r="A41" s="298" t="s">
        <v>2405</v>
      </c>
      <c r="B41" s="253" t="s">
        <v>2406</v>
      </c>
      <c r="C41" s="275">
        <f ca="1">ROUND(SUM(C42:C43),0)</f>
        <v>4795</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ROUND(IF('数据-取费表'!B22&lt;=1,C33*F22*'数据-取费表'!B21/2,C33*(POWER((1+F22),'数据-取费表'!B21/2)-1)),0)</f>
        <v>4701</v>
      </c>
      <c r="D42" s="281"/>
      <c r="E42" s="281"/>
      <c r="F42" s="282"/>
      <c r="G42" s="3175" t="s">
        <v>2408</v>
      </c>
    </row>
    <row r="43" spans="1:7" ht="13.5" customHeight="1">
      <c r="A43" s="952" t="s">
        <v>792</v>
      </c>
      <c r="B43" s="258" t="s">
        <v>2409</v>
      </c>
      <c r="C43" s="281">
        <f ca="1">ROUND(IF('数据-取费表'!B22&lt;=1,C39*F22*'数据-取费表'!B21/2,C39*(POWER((1+F22),'数据-取费表'!B21/2)-1)),0)</f>
        <v>94</v>
      </c>
      <c r="D43" s="281"/>
      <c r="E43" s="281"/>
      <c r="F43" s="282"/>
      <c r="G43" s="3176"/>
    </row>
    <row r="44" spans="1:7" ht="13.5" customHeight="1">
      <c r="A44" s="952" t="s">
        <v>793</v>
      </c>
      <c r="B44" s="258" t="s">
        <v>2410</v>
      </c>
      <c r="C44" s="281">
        <f ca="1">ROUND(IF('数据-取费表'!B22&lt;=1,C40*F22*'数据-取费表'!B21/2,C40*(POWER((1+F22),'数据-取费表'!B21/2)-1)),4)</f>
        <v>1E-3</v>
      </c>
      <c r="D44" s="281"/>
      <c r="E44" s="281"/>
      <c r="F44" s="282"/>
      <c r="G44" s="3177"/>
    </row>
    <row r="45" spans="1:7" s="257" customFormat="1" ht="13.5" customHeight="1">
      <c r="A45" s="298" t="s">
        <v>2411</v>
      </c>
      <c r="B45" s="287" t="s">
        <v>2377</v>
      </c>
      <c r="C45" s="288">
        <f ca="1">C46</f>
        <v>16152</v>
      </c>
      <c r="D45" s="278">
        <f ca="1">C47</f>
        <v>3.2000000000000002E-3</v>
      </c>
      <c r="E45" s="279" t="s">
        <v>2403</v>
      </c>
      <c r="F45" s="289"/>
      <c r="G45" s="290" t="s">
        <v>2412</v>
      </c>
    </row>
    <row r="46" spans="1:7" s="257" customFormat="1" ht="13.5" customHeight="1">
      <c r="A46" s="952" t="s">
        <v>791</v>
      </c>
      <c r="B46" s="291" t="s">
        <v>2413</v>
      </c>
      <c r="C46" s="292">
        <f ca="1">ROUND((C33+C39)*F27,0)</f>
        <v>16152</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1728">
        <f>ROUND(F30/(1+'数据-取费表'!C42),4)</f>
        <v>5.33E-2</v>
      </c>
      <c r="D48" s="279" t="s">
        <v>2403</v>
      </c>
      <c r="E48" s="275"/>
      <c r="F48" s="280"/>
      <c r="G48" s="277" t="s">
        <v>2416</v>
      </c>
    </row>
    <row r="49" spans="1:7" ht="16.5" customHeight="1">
      <c r="A49" s="298" t="s">
        <v>2382</v>
      </c>
      <c r="B49" s="253" t="s">
        <v>2417</v>
      </c>
      <c r="C49" s="275">
        <f ca="1">ROUND((C33+C39+C41+C45)/(1-C40-D41-D45-C48),0)</f>
        <v>132138</v>
      </c>
      <c r="D49" s="275"/>
      <c r="E49" s="275"/>
      <c r="F49" s="307"/>
      <c r="G49" s="277" t="s">
        <v>2418</v>
      </c>
    </row>
    <row r="50" spans="1:7" s="301" customFormat="1" ht="24">
      <c r="A50" s="298" t="s">
        <v>2419</v>
      </c>
      <c r="B50" s="253" t="s">
        <v>2420</v>
      </c>
      <c r="C50" s="275"/>
      <c r="D50" s="275"/>
      <c r="E50" s="275"/>
      <c r="F50" s="307">
        <f>IF('数据-取费表'!B24=0,'数据-取费表'!N16,1)</f>
        <v>0.85</v>
      </c>
      <c r="G50" s="290" t="s">
        <v>2421</v>
      </c>
    </row>
    <row r="51" spans="1:7" ht="16.5" customHeight="1">
      <c r="A51" s="298" t="s">
        <v>2422</v>
      </c>
      <c r="B51" s="253" t="s">
        <v>2423</v>
      </c>
      <c r="C51" s="275">
        <f ca="1">ROUND(C49*F50,0)</f>
        <v>112317</v>
      </c>
      <c r="D51" s="275"/>
      <c r="E51" s="275"/>
      <c r="F51" s="307"/>
      <c r="G51" s="277" t="s">
        <v>2424</v>
      </c>
    </row>
    <row r="52" spans="1:7" s="251" customFormat="1" ht="16.5" thickBot="1">
      <c r="A52" s="308" t="s">
        <v>2425</v>
      </c>
      <c r="B52" s="309"/>
      <c r="C52" s="310">
        <f ca="1">C31+C51</f>
        <v>116933</v>
      </c>
      <c r="D52" s="309"/>
      <c r="E52" s="309"/>
      <c r="F52" s="309"/>
      <c r="G52" s="311"/>
    </row>
    <row r="55" spans="1:7" ht="15">
      <c r="B55" s="313" t="s">
        <v>2426</v>
      </c>
      <c r="C55" s="314"/>
    </row>
    <row r="56" spans="1:7">
      <c r="B56" s="316" t="s">
        <v>1513</v>
      </c>
      <c r="C56" s="318">
        <f ca="1">1-C57</f>
        <v>3.9000000000000035E-2</v>
      </c>
    </row>
    <row r="57" spans="1:7">
      <c r="B57" s="316" t="s">
        <v>1514</v>
      </c>
      <c r="C57" s="317">
        <f ca="1">ROUND(C51/C52,3)</f>
        <v>0.96099999999999997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9" sqref="I39"/>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7"/>
      <c r="C1" s="2555" t="s">
        <v>2427</v>
      </c>
      <c r="D1" s="241"/>
      <c r="E1" s="241"/>
      <c r="F1" s="241"/>
      <c r="G1" s="1380">
        <f>MATCH(B1,'数据-取费表'!A6:A16,0)+5</f>
        <v>10</v>
      </c>
      <c r="H1" s="1283" t="str">
        <f>IF(ISERROR(FIND("住宅",B1)),"非住宅","住宅")</f>
        <v>非住宅</v>
      </c>
    </row>
    <row r="2" spans="1:8" s="243" customFormat="1" ht="18" customHeight="1">
      <c r="A2" s="244" t="s">
        <v>2326</v>
      </c>
      <c r="B2" s="245">
        <f ca="1">ROUND(IF(D2="——",C52/10000,C52/10000-E2),0)</f>
        <v>121552</v>
      </c>
      <c r="C2" s="242" t="s">
        <v>2327</v>
      </c>
      <c r="D2" s="2549" t="s">
        <v>70</v>
      </c>
      <c r="E2" s="1441" t="e">
        <f ca="1">SUMIF(INDIRECT("'"&amp;G2&amp;"'"&amp;"!A:A"),"承租人权益价值",INDIRECT("'"&amp;G2&amp;"'"&amp;"!c:c"))</f>
        <v>#REF!</v>
      </c>
      <c r="F2" s="2550" t="s">
        <v>2327</v>
      </c>
      <c r="G2" s="2551"/>
    </row>
    <row r="3" spans="1:8" s="243" customFormat="1" ht="18" customHeight="1" thickBot="1">
      <c r="A3" s="246" t="s">
        <v>2328</v>
      </c>
      <c r="B3" s="247">
        <f ca="1">ROUND(B2*10000/(IF(B1="",'数据-汇总表'!E3,INDIRECT("'数据-取费表'!k"&amp;$G$1))),0)</f>
        <v>7314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33236112</v>
      </c>
      <c r="D5" s="254" t="s">
        <v>2333</v>
      </c>
      <c r="E5" s="255" t="s">
        <v>2334</v>
      </c>
      <c r="F5" s="255" t="s">
        <v>2335</v>
      </c>
      <c r="G5" s="256"/>
    </row>
    <row r="6" spans="1:8" s="257" customFormat="1" ht="13.5" customHeight="1">
      <c r="A6" s="950" t="s">
        <v>2336</v>
      </c>
      <c r="B6" s="258" t="s">
        <v>2337</v>
      </c>
      <c r="C6" s="259"/>
      <c r="D6" s="260"/>
      <c r="E6" s="261"/>
      <c r="F6" s="261"/>
      <c r="G6" s="262"/>
    </row>
    <row r="7" spans="1:8" s="257" customFormat="1" ht="13.5" customHeight="1">
      <c r="A7" s="950" t="s">
        <v>2338</v>
      </c>
      <c r="B7" s="258" t="s">
        <v>2339</v>
      </c>
      <c r="C7" s="263">
        <f>ROUND(C6*F7,0)</f>
        <v>0</v>
      </c>
      <c r="D7" s="263"/>
      <c r="E7" s="261"/>
      <c r="F7" s="264">
        <f>'数据-取费表'!B48+'数据-取费表'!B49</f>
        <v>3.0499999999999999E-2</v>
      </c>
      <c r="G7" s="262"/>
    </row>
    <row r="8" spans="1:8" s="266" customFormat="1">
      <c r="A8" s="950" t="s">
        <v>2340</v>
      </c>
      <c r="B8" s="258" t="s">
        <v>2341</v>
      </c>
      <c r="C8" s="263">
        <f ca="1">IF(G8="已包含在土地购买价格中",0,C9+C10)</f>
        <v>33236112</v>
      </c>
      <c r="D8" s="265"/>
      <c r="E8" s="263"/>
      <c r="F8" s="264"/>
      <c r="G8" s="2552"/>
    </row>
    <row r="9" spans="1:8" s="257" customFormat="1" ht="13.5" customHeight="1">
      <c r="A9" s="951" t="s">
        <v>800</v>
      </c>
      <c r="B9" s="267" t="s">
        <v>2342</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2344</v>
      </c>
      <c r="C10" s="268">
        <f ca="1">ROUND(D10*E10,0)</f>
        <v>33236112</v>
      </c>
      <c r="D10" s="1033">
        <f ca="1">IF(B1="",'数据-汇总表'!E6,IF(INDIRECT("'数据-取费表'!c"&amp;$G$1)="住宅",INDIRECT("'数据-取费表'!s"&amp;$G$1),INDIRECT("'数据-取费表'!k"&amp;$G$1)+INDIRECT("'数据-取费表'!s"&amp;$G$1)))</f>
        <v>166180.56000000003</v>
      </c>
      <c r="E10" s="268">
        <f>'数据-取费表'!B28</f>
        <v>200</v>
      </c>
      <c r="F10" s="264"/>
      <c r="G10" s="269"/>
    </row>
    <row r="11" spans="1:8" s="257" customFormat="1" ht="13.5" hidden="1" customHeight="1">
      <c r="A11" s="270" t="s">
        <v>7</v>
      </c>
      <c r="B11" s="258" t="s">
        <v>2345</v>
      </c>
      <c r="C11" s="254"/>
      <c r="D11" s="1035"/>
      <c r="E11" s="261"/>
      <c r="F11" s="261"/>
      <c r="G11" s="262"/>
    </row>
    <row r="12" spans="1:8" s="257" customFormat="1" ht="13.5" hidden="1" customHeight="1">
      <c r="A12" s="270" t="s">
        <v>8</v>
      </c>
      <c r="B12" s="258" t="s">
        <v>2428</v>
      </c>
      <c r="C12" s="254">
        <v>0</v>
      </c>
      <c r="D12" s="1035"/>
      <c r="E12" s="271"/>
      <c r="F12" s="264">
        <v>3.0499999999999999E-2</v>
      </c>
      <c r="G12" s="262"/>
    </row>
    <row r="13" spans="1:8" s="257" customFormat="1" ht="13.5" hidden="1" customHeight="1">
      <c r="A13" s="270" t="s">
        <v>9</v>
      </c>
      <c r="B13" s="258" t="s">
        <v>2429</v>
      </c>
      <c r="C13" s="254"/>
      <c r="D13" s="1035"/>
      <c r="E13" s="261"/>
      <c r="F13" s="261"/>
      <c r="G13" s="262"/>
    </row>
    <row r="14" spans="1:8" s="257" customFormat="1" ht="13.5" hidden="1" customHeight="1">
      <c r="A14" s="270" t="s">
        <v>10</v>
      </c>
      <c r="B14" s="258" t="s">
        <v>2341</v>
      </c>
      <c r="C14" s="254"/>
      <c r="D14" s="1035"/>
      <c r="E14" s="261"/>
      <c r="F14" s="261"/>
      <c r="G14" s="262" t="s">
        <v>2430</v>
      </c>
    </row>
    <row r="15" spans="1:8" s="257" customFormat="1" ht="13.5" hidden="1" customHeight="1">
      <c r="A15" s="270" t="s">
        <v>11</v>
      </c>
      <c r="B15" s="258" t="s">
        <v>2431</v>
      </c>
      <c r="C15" s="263"/>
      <c r="D15" s="1035"/>
      <c r="E15" s="261"/>
      <c r="F15" s="261"/>
      <c r="G15" s="262" t="s">
        <v>2432</v>
      </c>
    </row>
    <row r="16" spans="1:8" s="257" customFormat="1" ht="13.5" hidden="1" customHeight="1">
      <c r="A16" s="270" t="s">
        <v>12</v>
      </c>
      <c r="B16" s="258" t="s">
        <v>2341</v>
      </c>
      <c r="C16" s="263"/>
      <c r="D16" s="1035"/>
      <c r="E16" s="261"/>
      <c r="F16" s="261"/>
      <c r="G16" s="262"/>
    </row>
    <row r="17" spans="1:7" s="257" customFormat="1" ht="13.5" hidden="1" customHeight="1">
      <c r="A17" s="270" t="s">
        <v>13</v>
      </c>
      <c r="B17" s="258" t="s">
        <v>2433</v>
      </c>
      <c r="C17" s="272"/>
      <c r="D17" s="1036"/>
      <c r="E17" s="272"/>
      <c r="F17" s="272"/>
      <c r="G17" s="262" t="s">
        <v>2432</v>
      </c>
    </row>
    <row r="18" spans="1:7" s="257" customFormat="1" ht="13.5" hidden="1" customHeight="1">
      <c r="A18" s="270" t="s">
        <v>14</v>
      </c>
      <c r="B18" s="258" t="s">
        <v>2434</v>
      </c>
      <c r="C18" s="263">
        <v>0</v>
      </c>
      <c r="D18" s="1035"/>
      <c r="E18" s="261"/>
      <c r="F18" s="264">
        <v>3.0499999999999999E-2</v>
      </c>
      <c r="G18" s="262" t="s">
        <v>2435</v>
      </c>
    </row>
    <row r="19" spans="1:7" s="266" customFormat="1" ht="13.5" customHeight="1">
      <c r="A19" s="298" t="s">
        <v>2436</v>
      </c>
      <c r="B19" s="253" t="s">
        <v>2437</v>
      </c>
      <c r="C19" s="254">
        <f ca="1">IF(G19="已包含在土地取得成本中","0",ROUND(D19*E19,0))</f>
        <v>33236112</v>
      </c>
      <c r="D19" s="1037">
        <f ca="1">D9+D10</f>
        <v>166180.56000000003</v>
      </c>
      <c r="E19" s="254">
        <f>'数据-取费表'!B31</f>
        <v>200</v>
      </c>
      <c r="F19" s="274"/>
      <c r="G19" s="2552"/>
    </row>
    <row r="20" spans="1:7" s="257" customFormat="1" ht="13.5" customHeight="1">
      <c r="A20" s="298" t="s">
        <v>2438</v>
      </c>
      <c r="B20" s="253" t="s">
        <v>2439</v>
      </c>
      <c r="C20" s="275">
        <f ca="1">ROUND((C5+C19)*F20,0)</f>
        <v>1329444</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81">
        <f ca="1">ROUND(SUM(C23:C25),0)</f>
        <v>6527989</v>
      </c>
      <c r="D22" s="278">
        <f ca="1">C26</f>
        <v>1E-3</v>
      </c>
      <c r="E22" s="279" t="s">
        <v>2443</v>
      </c>
      <c r="F22" s="280">
        <f ca="1">'数据-取费表'!B40</f>
        <v>4.7500000000000001E-2</v>
      </c>
      <c r="G22" s="277" t="str">
        <f>IF('数据-取费表'!B22&lt;=1,"单利计息","复利计息")</f>
        <v>复利计息</v>
      </c>
    </row>
    <row r="23" spans="1:7" s="257" customFormat="1" ht="13.5" customHeight="1">
      <c r="A23" s="952" t="s">
        <v>2336</v>
      </c>
      <c r="B23" s="258" t="s">
        <v>2447</v>
      </c>
      <c r="C23" s="1382">
        <f ca="1">ROUND(IF('数据-取费表'!B22&lt;=1,C5*F22*'数据-取费表'!B22,C5*(POWER((1+F22),'数据-取费表'!B22)-1)),0)</f>
        <v>3232420</v>
      </c>
      <c r="D23" s="281"/>
      <c r="E23" s="281"/>
      <c r="F23" s="282"/>
      <c r="G23" s="283" t="s">
        <v>2448</v>
      </c>
    </row>
    <row r="24" spans="1:7" s="257" customFormat="1" ht="13.5" customHeight="1">
      <c r="A24" s="952" t="s">
        <v>2338</v>
      </c>
      <c r="B24" s="258" t="s">
        <v>2449</v>
      </c>
      <c r="C24" s="1382">
        <f ca="1">ROUND(IF('数据-取费表'!B22&lt;=1,C19*F22*('数据-取费表'!B19/2+'数据-取费表'!B20),C19*(POWER((1+F22),('数据-取费表'!B19/2+'数据-取费表'!B20))-1)),0)</f>
        <v>3232420</v>
      </c>
      <c r="D24" s="281"/>
      <c r="E24" s="281"/>
      <c r="F24" s="282"/>
      <c r="G24" s="283" t="s">
        <v>2450</v>
      </c>
    </row>
    <row r="25" spans="1:7" s="257" customFormat="1" ht="24">
      <c r="A25" s="952" t="s">
        <v>2340</v>
      </c>
      <c r="B25" s="258" t="s">
        <v>2451</v>
      </c>
      <c r="C25" s="1382">
        <f ca="1">ROUND(IF('数据-取费表'!B22&lt;=1,C20*F22*'数据-取费表'!B22/2,C20*(POWER((1+F22),'数据-取费表'!B22/2)-1)),0)</f>
        <v>63149</v>
      </c>
      <c r="D25" s="281"/>
      <c r="E25" s="284"/>
      <c r="F25" s="282"/>
      <c r="G25" s="285" t="s">
        <v>2452</v>
      </c>
    </row>
    <row r="26" spans="1:7" s="257" customFormat="1">
      <c r="A26" s="952"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10848267</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ROUND((C5+C19+C20)*F27,0)</f>
        <v>10848267</v>
      </c>
      <c r="D28" s="278"/>
      <c r="E28" s="279"/>
      <c r="F28" s="289"/>
      <c r="G28" s="290"/>
    </row>
    <row r="29" spans="1:7" s="257" customFormat="1" ht="13.5" customHeight="1">
      <c r="A29" s="952" t="s">
        <v>792</v>
      </c>
      <c r="B29" s="291" t="s">
        <v>2381</v>
      </c>
      <c r="C29" s="281">
        <f ca="1">ROUND(C21*F27,4)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92333793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989717934</v>
      </c>
      <c r="D33" s="275"/>
      <c r="E33" s="255"/>
      <c r="F33" s="284"/>
      <c r="G33" s="277"/>
    </row>
    <row r="34" spans="1:7" s="301" customFormat="1" ht="13.5" customHeight="1">
      <c r="A34" s="952" t="s">
        <v>791</v>
      </c>
      <c r="B34" s="258" t="s">
        <v>2389</v>
      </c>
      <c r="C34" s="263">
        <f ca="1">ROUND(IF(B1="",SUMPRODUCT('数据-取费表'!K6:K14,'数据-取费表'!L6:L14),INDIRECT("'数据-取费表'!l"&amp;$G$1)*INDIRECT("'数据-取费表'!k"&amp;$G$1)+'数据-取费表'!L14*INDIRECT("'数据-取费表'!S"&amp;$G$1)),0)</f>
        <v>915293610</v>
      </c>
      <c r="D34" s="260"/>
      <c r="E34" s="263"/>
      <c r="F34" s="300"/>
      <c r="G34" s="262"/>
    </row>
    <row r="35" spans="1:7" ht="13.5" customHeight="1">
      <c r="A35" s="952" t="s">
        <v>796</v>
      </c>
      <c r="B35" s="258" t="s">
        <v>2391</v>
      </c>
      <c r="C35" s="263">
        <f ca="1">ROUND(C34*F35,0)</f>
        <v>27458808</v>
      </c>
      <c r="D35" s="263"/>
      <c r="E35" s="263"/>
      <c r="F35" s="302">
        <f>'数据-取费表'!B33</f>
        <v>0.03</v>
      </c>
      <c r="G35" s="262" t="s">
        <v>2392</v>
      </c>
    </row>
    <row r="36" spans="1:7" ht="24">
      <c r="A36" s="952"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2" t="s">
        <v>798</v>
      </c>
      <c r="B37" s="258" t="s">
        <v>2395</v>
      </c>
      <c r="C37" s="292">
        <f ca="1">ROUND(E37*D37,0)</f>
        <v>33236112</v>
      </c>
      <c r="D37" s="260">
        <f ca="1">D19</f>
        <v>166180.56000000003</v>
      </c>
      <c r="E37" s="292">
        <f>'数据-取费表'!B35</f>
        <v>200</v>
      </c>
      <c r="F37" s="302"/>
      <c r="G37" s="304"/>
    </row>
    <row r="38" spans="1:7" ht="13.5" customHeight="1">
      <c r="A38" s="952" t="s">
        <v>799</v>
      </c>
      <c r="B38" s="258" t="s">
        <v>2397</v>
      </c>
      <c r="C38" s="263">
        <f ca="1">ROUND(C34*F38,0)</f>
        <v>13729404</v>
      </c>
      <c r="D38" s="263"/>
      <c r="E38" s="263"/>
      <c r="F38" s="302">
        <f>'数据-取费表'!B36</f>
        <v>1.4999999999999999E-2</v>
      </c>
      <c r="G38" s="262" t="s">
        <v>2392</v>
      </c>
    </row>
    <row r="39" spans="1:7" s="257" customFormat="1" ht="13.5" customHeight="1">
      <c r="A39" s="298" t="s">
        <v>2398</v>
      </c>
      <c r="B39" s="253" t="s">
        <v>2399</v>
      </c>
      <c r="C39" s="275">
        <f ca="1">ROUND(C33*F20,0)</f>
        <v>19794359</v>
      </c>
      <c r="D39" s="275"/>
      <c r="E39" s="275"/>
      <c r="F39" s="276"/>
      <c r="G39" s="277" t="s">
        <v>2400</v>
      </c>
    </row>
    <row r="40" spans="1:7" s="257" customFormat="1" ht="13.5" customHeight="1">
      <c r="A40" s="298" t="s">
        <v>2401</v>
      </c>
      <c r="B40" s="253" t="s">
        <v>2402</v>
      </c>
      <c r="C40" s="1728">
        <f>F21</f>
        <v>0.02</v>
      </c>
      <c r="D40" s="279" t="s">
        <v>2403</v>
      </c>
      <c r="E40" s="275"/>
      <c r="F40" s="276"/>
      <c r="G40" s="277" t="s">
        <v>2404</v>
      </c>
    </row>
    <row r="41" spans="1:7" s="257" customFormat="1" ht="13.5" customHeight="1">
      <c r="A41" s="298" t="s">
        <v>2405</v>
      </c>
      <c r="B41" s="253" t="s">
        <v>2406</v>
      </c>
      <c r="C41" s="275">
        <f ca="1">ROUND(SUM(C42:C43),0)</f>
        <v>47951834</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ROUND(IF('数据-取费表'!B22&lt;=1,C33*F22*'数据-取费表'!B20/2,C33*(POWER((1+F22),'数据-取费表'!B20/2)-1)),0)</f>
        <v>47011602</v>
      </c>
      <c r="D42" s="281"/>
      <c r="E42" s="281"/>
      <c r="F42" s="282"/>
      <c r="G42" s="3175" t="s">
        <v>2455</v>
      </c>
    </row>
    <row r="43" spans="1:7" ht="13.5" customHeight="1">
      <c r="A43" s="952" t="s">
        <v>792</v>
      </c>
      <c r="B43" s="258" t="s">
        <v>2409</v>
      </c>
      <c r="C43" s="281">
        <f ca="1">ROUND(IF('数据-取费表'!B22&lt;=1,C39*F22*'数据-取费表'!B20/2,C39*(POWER((1+F22),'数据-取费表'!B20/2)-1)),0)</f>
        <v>940232</v>
      </c>
      <c r="D43" s="281"/>
      <c r="E43" s="281"/>
      <c r="F43" s="282"/>
      <c r="G43" s="3176"/>
    </row>
    <row r="44" spans="1:7" ht="13.5" customHeight="1">
      <c r="A44" s="952" t="s">
        <v>793</v>
      </c>
      <c r="B44" s="258" t="s">
        <v>2410</v>
      </c>
      <c r="C44" s="281">
        <f ca="1">ROUND(IF('数据-取费表'!B22&lt;=1,C40*F22*'数据-取费表'!B20/2,C40*(POWER((1+F22),'数据-取费表'!B20/2)-1)),4)</f>
        <v>1E-3</v>
      </c>
      <c r="D44" s="281"/>
      <c r="E44" s="281"/>
      <c r="F44" s="282"/>
      <c r="G44" s="3177"/>
    </row>
    <row r="45" spans="1:7" s="257" customFormat="1" ht="13.5" customHeight="1">
      <c r="A45" s="298" t="s">
        <v>2411</v>
      </c>
      <c r="B45" s="287" t="s">
        <v>2377</v>
      </c>
      <c r="C45" s="288">
        <f ca="1">C46</f>
        <v>161521967</v>
      </c>
      <c r="D45" s="278">
        <f ca="1">C47</f>
        <v>3.2000000000000002E-3</v>
      </c>
      <c r="E45" s="279" t="s">
        <v>2403</v>
      </c>
      <c r="F45" s="289"/>
      <c r="G45" s="290" t="s">
        <v>2412</v>
      </c>
    </row>
    <row r="46" spans="1:7" s="257" customFormat="1" ht="13.5" customHeight="1">
      <c r="A46" s="952" t="s">
        <v>791</v>
      </c>
      <c r="B46" s="291" t="s">
        <v>2413</v>
      </c>
      <c r="C46" s="292">
        <f ca="1">ROUND((C33+C39)*F27,0)</f>
        <v>161521967</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1321394140</v>
      </c>
      <c r="D49" s="275"/>
      <c r="E49" s="275"/>
      <c r="F49" s="307"/>
      <c r="G49" s="277" t="s">
        <v>2418</v>
      </c>
    </row>
    <row r="50" spans="1:7" s="301" customFormat="1">
      <c r="A50" s="298" t="s">
        <v>2419</v>
      </c>
      <c r="B50" s="253" t="s">
        <v>2420</v>
      </c>
      <c r="C50" s="275"/>
      <c r="D50" s="275"/>
      <c r="E50" s="275"/>
      <c r="F50" s="307">
        <f>IF('数据-取费表'!B24=0,'数据-取费表'!N16,1)</f>
        <v>0.85</v>
      </c>
      <c r="G50" s="290"/>
    </row>
    <row r="51" spans="1:7" ht="16.5" customHeight="1">
      <c r="A51" s="298" t="s">
        <v>2422</v>
      </c>
      <c r="B51" s="253" t="s">
        <v>2457</v>
      </c>
      <c r="C51" s="275">
        <f ca="1">ROUND(C49*F50,0)</f>
        <v>1123185019</v>
      </c>
      <c r="D51" s="275"/>
      <c r="E51" s="275"/>
      <c r="F51" s="307"/>
      <c r="G51" s="277" t="s">
        <v>2424</v>
      </c>
    </row>
    <row r="52" spans="1:7" s="251" customFormat="1" ht="16.5" thickBot="1">
      <c r="A52" s="308" t="s">
        <v>2425</v>
      </c>
      <c r="B52" s="309"/>
      <c r="C52" s="310">
        <f ca="1">C31+C51</f>
        <v>1215518812</v>
      </c>
      <c r="D52" s="309"/>
      <c r="E52" s="309"/>
      <c r="F52" s="309"/>
      <c r="G52" s="311"/>
    </row>
    <row r="55" spans="1:7" ht="15">
      <c r="B55" s="313" t="s">
        <v>2426</v>
      </c>
      <c r="C55" s="314"/>
    </row>
    <row r="56" spans="1:7">
      <c r="B56" s="316" t="s">
        <v>1513</v>
      </c>
      <c r="C56" s="318">
        <f ca="1">1-C57</f>
        <v>7.5999999999999956E-2</v>
      </c>
    </row>
    <row r="57" spans="1:7">
      <c r="B57" s="316" t="s">
        <v>1514</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9" sqref="I39"/>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2458</v>
      </c>
      <c r="B1" s="1581"/>
      <c r="C1" s="1582"/>
      <c r="D1" s="1580"/>
      <c r="E1" s="319"/>
      <c r="F1" s="319"/>
      <c r="G1" s="1581"/>
      <c r="H1" s="319"/>
      <c r="I1" s="319"/>
      <c r="J1" s="319"/>
      <c r="K1" s="319">
        <f>MATCH(C1,'数据-取费表'!A6:A16,0)+5</f>
        <v>10</v>
      </c>
    </row>
    <row r="2" spans="1:33" ht="18" customHeight="1">
      <c r="A2" s="244" t="s">
        <v>2326</v>
      </c>
      <c r="B2" s="247">
        <f ca="1">C32</f>
        <v>-3821</v>
      </c>
      <c r="C2" s="319" t="s">
        <v>2459</v>
      </c>
      <c r="D2" s="319"/>
      <c r="E2" s="319"/>
      <c r="F2" s="319"/>
      <c r="G2" s="319"/>
      <c r="H2" s="319"/>
      <c r="I2" s="319"/>
      <c r="J2" s="319"/>
      <c r="K2" s="319"/>
    </row>
    <row r="3" spans="1:33" ht="18" customHeight="1" thickBot="1">
      <c r="A3" s="246" t="s">
        <v>2328</v>
      </c>
      <c r="B3" s="247">
        <f ca="1">ROUND(B2*10000/IF(C1="",'数据-汇总表'!E3,INDIRECT("'数据-取费表'!K"&amp;$K$1)),0)</f>
        <v>-230</v>
      </c>
      <c r="C3" s="319" t="s">
        <v>2460</v>
      </c>
      <c r="D3" s="319"/>
      <c r="E3" s="319"/>
      <c r="F3" s="319"/>
      <c r="G3" s="319"/>
      <c r="H3" s="319"/>
      <c r="I3" s="319"/>
      <c r="J3" s="319"/>
      <c r="K3" s="319"/>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56" t="s">
        <v>2464</v>
      </c>
      <c r="D5" s="2556" t="s">
        <v>2465</v>
      </c>
      <c r="E5" s="2556" t="s">
        <v>2466</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0">
        <f>SUMIF('数据-汇总表'!$C19:$C33,假设开发法!C5,'数据-汇总表'!$E19:$E33)</f>
        <v>0</v>
      </c>
      <c r="D7" s="320">
        <f>SUMIF('数据-汇总表'!$C19:$C33,假设开发法!D5,'数据-汇总表'!$E19:$E33)</f>
        <v>0</v>
      </c>
      <c r="E7" s="320">
        <f>SUMIF('数据-汇总表'!$C19:$C33,假设开发法!E5,'数据-汇总表'!$E19:$E33)</f>
        <v>32281.690000000002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4"/>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4"/>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166180.56000000003</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166180.56000000003</v>
      </c>
      <c r="E17" s="24">
        <f>'数据-取费表'!B32</f>
        <v>0</v>
      </c>
      <c r="F17" s="979"/>
      <c r="G17" s="140" t="s">
        <v>2490</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3324</v>
      </c>
      <c r="D18" s="1034"/>
      <c r="E18" s="24"/>
      <c r="F18" s="977"/>
      <c r="G18" s="2558"/>
      <c r="H18" s="1577"/>
      <c r="I18" s="2559"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160</v>
      </c>
      <c r="F19" s="977"/>
      <c r="G19" s="15"/>
      <c r="H19" s="1579"/>
      <c r="I19" s="982"/>
      <c r="J19" s="982"/>
      <c r="K19" s="983"/>
    </row>
    <row r="20" spans="1:33" s="976" customFormat="1" ht="13.5" customHeight="1">
      <c r="A20" s="972" t="s">
        <v>806</v>
      </c>
      <c r="B20" s="973" t="s">
        <v>2494</v>
      </c>
      <c r="C20" s="24">
        <f ca="1">ROUND(D20*E20/10000,0)</f>
        <v>3324</v>
      </c>
      <c r="D20" s="1034">
        <f ca="1">IF(C1="",'数据-汇总表'!E6,IF(INDIRECT("'数据-取费表'!c"&amp;$K$1)="住宅",INDIRECT("'数据-取费表'!s"&amp;$K$1),INDIRECT("'数据-取费表'!k"&amp;$K$1)+INDIRECT("'数据-取费表'!s"&amp;$K$1)))</f>
        <v>166180.56000000003</v>
      </c>
      <c r="E20" s="24">
        <f>'数据-取费表'!B28</f>
        <v>200</v>
      </c>
      <c r="F20" s="977"/>
      <c r="G20" s="15"/>
      <c r="H20" s="982"/>
      <c r="I20" s="982"/>
      <c r="J20" s="982"/>
      <c r="K20" s="983"/>
    </row>
    <row r="21" spans="1:33" s="976" customFormat="1" ht="13.5" customHeight="1">
      <c r="A21" s="962" t="s">
        <v>802</v>
      </c>
      <c r="B21" s="986" t="s">
        <v>2495</v>
      </c>
      <c r="C21" s="987">
        <f ca="1">C16+C17+C18</f>
        <v>3324</v>
      </c>
      <c r="D21" s="988"/>
      <c r="E21" s="324"/>
      <c r="F21" s="324"/>
      <c r="G21" s="140" t="s">
        <v>2496</v>
      </c>
      <c r="H21" s="980"/>
      <c r="I21" s="980"/>
      <c r="J21" s="980"/>
      <c r="K21" s="981"/>
    </row>
    <row r="22" spans="1:33" s="976" customFormat="1" ht="13.5" customHeight="1">
      <c r="A22" s="962" t="s">
        <v>2468</v>
      </c>
      <c r="B22" s="986" t="s">
        <v>2497</v>
      </c>
      <c r="C22" s="987">
        <f ca="1">ROUND(C21*F22,0)</f>
        <v>66</v>
      </c>
      <c r="D22" s="324"/>
      <c r="E22" s="324"/>
      <c r="F22" s="989">
        <f>'数据-取费表'!B37</f>
        <v>0.02</v>
      </c>
      <c r="G22" s="8" t="s">
        <v>2498</v>
      </c>
      <c r="H22" s="969"/>
      <c r="I22" s="969"/>
      <c r="J22" s="969"/>
      <c r="K22" s="970"/>
    </row>
    <row r="23" spans="1:33" s="976" customFormat="1" ht="13.5" customHeight="1">
      <c r="A23" s="962" t="s">
        <v>2470</v>
      </c>
      <c r="B23" s="986" t="s">
        <v>2499</v>
      </c>
      <c r="C23" s="987">
        <f ca="1">ROUND(C4*F23*F11,0)</f>
        <v>0</v>
      </c>
      <c r="D23" s="324"/>
      <c r="E23" s="324"/>
      <c r="F23" s="989">
        <f>'数据-取费表'!B38</f>
        <v>0.02</v>
      </c>
      <c r="G23" s="8" t="s">
        <v>2500</v>
      </c>
      <c r="H23" s="969"/>
      <c r="I23" s="969"/>
      <c r="J23" s="969"/>
      <c r="K23" s="970"/>
    </row>
    <row r="24" spans="1:33" s="976" customFormat="1" ht="13.5" customHeight="1">
      <c r="A24" s="962" t="s">
        <v>2501</v>
      </c>
      <c r="B24" s="986" t="s">
        <v>2502</v>
      </c>
      <c r="C24" s="323">
        <f>ROUND(F24/(1+'数据-取费表'!C42),4)</f>
        <v>2.9000000000000001E-2</v>
      </c>
      <c r="D24" s="324" t="s">
        <v>15</v>
      </c>
      <c r="E24" s="324"/>
      <c r="F24" s="989">
        <f>'数据-取费表'!B48+'数据-取费表'!B49</f>
        <v>3.0499999999999999E-2</v>
      </c>
      <c r="G24" s="8" t="s">
        <v>2503</v>
      </c>
      <c r="H24" s="991"/>
      <c r="I24" s="991"/>
      <c r="J24" s="991"/>
      <c r="K24" s="992"/>
    </row>
    <row r="25" spans="1:33" s="976" customFormat="1" ht="13.5" customHeight="1">
      <c r="A25" s="962" t="s">
        <v>2504</v>
      </c>
      <c r="B25" s="988" t="s">
        <v>2505</v>
      </c>
      <c r="C25" s="135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2508</v>
      </c>
      <c r="B28" s="2561" t="s">
        <v>2509</v>
      </c>
      <c r="C28" s="330">
        <f ca="1">C30</f>
        <v>542</v>
      </c>
      <c r="D28" s="323">
        <f ca="1">C29</f>
        <v>0</v>
      </c>
      <c r="E28" s="325" t="s">
        <v>15</v>
      </c>
      <c r="F28" s="331">
        <f ca="1">IF(C1="",'数据-取费表'!Q16,INDIRECT("'数据-取费表'!q"&amp;$K$1))</f>
        <v>0.16</v>
      </c>
      <c r="G28" s="990"/>
      <c r="H28" s="991"/>
      <c r="I28" s="991"/>
      <c r="J28" s="991"/>
      <c r="K28" s="992"/>
    </row>
    <row r="29" spans="1:33" s="334" customFormat="1" ht="13.5" customHeight="1">
      <c r="A29" s="972" t="s">
        <v>803</v>
      </c>
      <c r="B29" s="995" t="s">
        <v>2510</v>
      </c>
      <c r="C29" s="327">
        <f ca="1">ROUND((1+C24)*F28*'数据-取费表'!B24/'数据-取费表'!B20,4)</f>
        <v>0</v>
      </c>
      <c r="D29" s="327"/>
      <c r="E29" s="328"/>
      <c r="F29" s="333"/>
      <c r="G29" s="140" t="s">
        <v>2511</v>
      </c>
      <c r="H29" s="980"/>
      <c r="I29" s="980"/>
      <c r="J29" s="980"/>
      <c r="K29" s="981"/>
    </row>
    <row r="30" spans="1:33" s="334" customFormat="1" ht="13.5" customHeight="1">
      <c r="A30" s="972" t="s">
        <v>804</v>
      </c>
      <c r="B30" s="995" t="s">
        <v>2512</v>
      </c>
      <c r="C30" s="335">
        <f ca="1">ROUND((C21+C22+C23)*F28,0)</f>
        <v>542</v>
      </c>
      <c r="D30" s="327"/>
      <c r="E30" s="328"/>
      <c r="F30" s="333"/>
      <c r="G30" s="140"/>
      <c r="H30" s="980"/>
      <c r="I30" s="980"/>
      <c r="J30" s="980"/>
      <c r="K30" s="981"/>
    </row>
    <row r="31" spans="1:33" s="976" customFormat="1" ht="13.5" customHeight="1" thickBot="1">
      <c r="A31" s="2562"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-3821</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7" sqref="L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584" t="s">
        <v>2641</v>
      </c>
      <c r="C1" s="1634" t="s">
        <v>2529</v>
      </c>
      <c r="D1" s="1621" t="s">
        <v>1377</v>
      </c>
      <c r="E1" s="2659"/>
      <c r="F1" s="2586" t="s">
        <v>3081</v>
      </c>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2326</v>
      </c>
      <c r="B2" s="1419" t="e">
        <f>IF(C2="——",ROUND(C49*D3/10000,0),ROUND(C49*D3/10000,0)-D2)</f>
        <v>#DIV/0!</v>
      </c>
      <c r="C2" s="2588" t="s">
        <v>70</v>
      </c>
      <c r="D2" s="1366" t="e">
        <f ca="1">SUMIF(INDIRECT("'"&amp;F2&amp;"'"&amp;"!A:A"),"承租人权益价值",INDIRECT("'"&amp;F2&amp;"'"&amp;"!c:c"))</f>
        <v>#REF!</v>
      </c>
      <c r="E2" s="2589" t="s">
        <v>2327</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2328</v>
      </c>
      <c r="B3" s="608" t="e">
        <f>IF(C2="——",C49,ROUND(B2*10000/D3,0))</f>
        <v>#DIV/0!</v>
      </c>
      <c r="C3" s="399" t="s">
        <v>2643</v>
      </c>
      <c r="D3" s="398">
        <f>IF(D1="",'数据-汇总表'!E3,SUMIF('数据-汇总表'!$C19:$C33,D1,'数据-汇总表'!$E19:$E33))</f>
        <v>0</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2"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2"/>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3"/>
      <c r="Y6" s="3211"/>
      <c r="Z6" s="3212"/>
      <c r="AA6" s="3196"/>
      <c r="AB6" s="3192"/>
      <c r="AC6" s="3196"/>
    </row>
    <row r="7" spans="1:29" s="117" customFormat="1" ht="15.75" thickBot="1">
      <c r="A7" s="407" t="s">
        <v>2547</v>
      </c>
      <c r="B7" s="408"/>
      <c r="C7" s="409">
        <f>'数据-取费表'!B2</f>
        <v>43468</v>
      </c>
      <c r="D7" s="410">
        <v>100</v>
      </c>
      <c r="E7" s="411">
        <f>C7</f>
        <v>43468</v>
      </c>
      <c r="F7" s="412">
        <f>SUMIF(58:58,YEAR(E7)&amp;"-"&amp;MONTH(E7),59:59)</f>
        <v>100</v>
      </c>
      <c r="G7" s="411">
        <f>C7</f>
        <v>43468</v>
      </c>
      <c r="H7" s="410">
        <f>SUMIF(58:58,YEAR(G7)&amp;"-"&amp;MONTH(G7),59:59)</f>
        <v>100</v>
      </c>
      <c r="I7" s="411">
        <f>C7</f>
        <v>43468</v>
      </c>
      <c r="J7" s="410">
        <f>SUMIF(58:58,YEAR(I7)&amp;"-"&amp;MONTH(I7),59:59)</f>
        <v>100</v>
      </c>
      <c r="K7" s="610"/>
      <c r="L7" s="1133"/>
      <c r="M7" s="1134"/>
      <c r="N7" s="1134"/>
      <c r="O7" s="1134"/>
      <c r="P7" s="3217" t="s">
        <v>2548</v>
      </c>
      <c r="Q7" s="3219"/>
      <c r="R7" s="769" t="s">
        <v>17</v>
      </c>
      <c r="S7" s="770">
        <f t="shared" ref="S7:S15" si="0">F7</f>
        <v>100</v>
      </c>
      <c r="T7" s="769" t="s">
        <v>17</v>
      </c>
      <c r="U7" s="770">
        <f t="shared" ref="U7:U15" si="1">H7</f>
        <v>100</v>
      </c>
      <c r="V7" s="769" t="s">
        <v>17</v>
      </c>
      <c r="W7" s="770">
        <f t="shared" ref="W7:W15" si="2">J7</f>
        <v>100</v>
      </c>
      <c r="X7" s="771"/>
      <c r="Y7" s="3217" t="s">
        <v>2548</v>
      </c>
      <c r="Z7" s="3218"/>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3"/>
      <c r="M8" s="1134"/>
      <c r="N8" s="1134"/>
      <c r="O8" s="1134"/>
      <c r="P8" s="3217" t="s">
        <v>2551</v>
      </c>
      <c r="Q8" s="3218"/>
      <c r="R8" s="769" t="s">
        <v>17</v>
      </c>
      <c r="S8" s="770">
        <f t="shared" si="0"/>
        <v>100</v>
      </c>
      <c r="T8" s="769" t="s">
        <v>17</v>
      </c>
      <c r="U8" s="770">
        <f t="shared" si="1"/>
        <v>100</v>
      </c>
      <c r="V8" s="769" t="s">
        <v>17</v>
      </c>
      <c r="W8" s="770">
        <f t="shared" si="2"/>
        <v>100</v>
      </c>
      <c r="X8" s="771"/>
      <c r="Y8" s="3217" t="s">
        <v>2551</v>
      </c>
      <c r="Z8" s="3218"/>
      <c r="AA8" s="772">
        <f t="shared" ref="AA8:AA46" si="3">D8/F8</f>
        <v>1</v>
      </c>
      <c r="AB8" s="772">
        <f t="shared" ref="AB8:AB46" si="4">D8/H8</f>
        <v>1</v>
      </c>
      <c r="AC8" s="772">
        <f t="shared" ref="AC8:AC46" si="5">D8/J8</f>
        <v>1</v>
      </c>
    </row>
    <row r="9" spans="1:29" s="117" customFormat="1">
      <c r="A9" s="414" t="s">
        <v>2552</v>
      </c>
      <c r="B9" s="71" t="s">
        <v>2553</v>
      </c>
      <c r="C9" s="2956" t="s">
        <v>3082</v>
      </c>
      <c r="D9" s="135">
        <v>100</v>
      </c>
      <c r="E9" s="416" t="s">
        <v>1377</v>
      </c>
      <c r="F9" s="417">
        <f>SUMIF(63:63,E9,64:64)-SUMIF(63:63,C9,64:64)+100</f>
        <v>100</v>
      </c>
      <c r="G9" s="416" t="s">
        <v>1377</v>
      </c>
      <c r="H9" s="135">
        <f>SUMIF(63:63,G9,64:64)-SUMIF(63:63,C9,64:64)+100</f>
        <v>100</v>
      </c>
      <c r="I9" s="416" t="s">
        <v>1377</v>
      </c>
      <c r="J9" s="135">
        <f>SUMIF(63:63,I9,64:64)-SUMIF(63:63,C9,64:64)+100</f>
        <v>100</v>
      </c>
      <c r="K9" s="610"/>
      <c r="L9" s="1133"/>
      <c r="M9" s="1134"/>
      <c r="N9" s="1134"/>
      <c r="O9" s="1134"/>
      <c r="P9" s="3193"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75" thickBot="1">
      <c r="A10" s="420"/>
      <c r="B10" s="421" t="s">
        <v>2556</v>
      </c>
      <c r="C10" s="422" t="s">
        <v>3083</v>
      </c>
      <c r="D10" s="136">
        <v>100</v>
      </c>
      <c r="E10" s="423"/>
      <c r="F10" s="424">
        <f>SUMIF(65:65,E10,66:66)-SUMIF(65:65,C10,66:66)+100</f>
        <v>0</v>
      </c>
      <c r="G10" s="422"/>
      <c r="H10" s="136">
        <f>SUMIF(65:65,G10,66:66)-SUMIF(65:65,C10,66:66)+100</f>
        <v>0</v>
      </c>
      <c r="I10" s="422"/>
      <c r="J10" s="136">
        <f>SUMIF(65:65,I10,66:66)-SUMIF(65:65,C10,66:66)+100</f>
        <v>0</v>
      </c>
      <c r="K10" s="611"/>
      <c r="L10" s="1136"/>
      <c r="M10" s="1137"/>
      <c r="N10" s="1137"/>
      <c r="O10" s="1137"/>
      <c r="P10" s="3193"/>
      <c r="Q10" s="1795" t="str">
        <f t="shared" si="6"/>
        <v>土地使用年限（年）</v>
      </c>
      <c r="R10" s="769" t="s">
        <v>17</v>
      </c>
      <c r="S10" s="770">
        <f t="shared" si="0"/>
        <v>0</v>
      </c>
      <c r="T10" s="769" t="s">
        <v>17</v>
      </c>
      <c r="U10" s="770">
        <f t="shared" si="1"/>
        <v>0</v>
      </c>
      <c r="V10" s="769" t="s">
        <v>17</v>
      </c>
      <c r="W10" s="770">
        <f t="shared" si="2"/>
        <v>0</v>
      </c>
      <c r="X10" s="771"/>
      <c r="Y10" s="3033"/>
      <c r="Z10" s="55" t="str">
        <f t="shared" si="7"/>
        <v>土地使用年限（年）</v>
      </c>
      <c r="AA10" s="772" t="e">
        <f t="shared" si="3"/>
        <v>#DIV/0!</v>
      </c>
      <c r="AB10" s="772" t="e">
        <f t="shared" si="4"/>
        <v>#DIV/0!</v>
      </c>
      <c r="AC10" s="772" t="e">
        <f t="shared" si="5"/>
        <v>#DIV/0!</v>
      </c>
    </row>
    <row r="11" spans="1:29" ht="15" hidden="1">
      <c r="A11" s="427"/>
      <c r="B11" s="421" t="s">
        <v>2557</v>
      </c>
      <c r="C11" s="428"/>
      <c r="D11" s="136">
        <v>100</v>
      </c>
      <c r="E11" s="429"/>
      <c r="F11" s="424">
        <f>LOOKUP(E11,68:68,69:69)-LOOKUP(C11,68:68,69:69)+100</f>
        <v>100</v>
      </c>
      <c r="G11" s="428"/>
      <c r="H11" s="136">
        <f>LOOKUP(G11,68:68,69:69)-LOOKUP(C11,68:68,69:69)+100</f>
        <v>100</v>
      </c>
      <c r="I11" s="428"/>
      <c r="J11" s="136">
        <f>LOOKUP(I11,68:68,69:69)-LOOKUP(C11,68:68,69:69)+100</f>
        <v>100</v>
      </c>
      <c r="K11" s="611"/>
      <c r="L11" s="1139"/>
      <c r="M11" s="1132"/>
      <c r="N11" s="1132"/>
      <c r="O11" s="1132"/>
      <c r="P11" s="3193"/>
      <c r="Q11" s="1795" t="str">
        <f t="shared" si="6"/>
        <v>容积率</v>
      </c>
      <c r="R11" s="769" t="s">
        <v>17</v>
      </c>
      <c r="S11" s="770">
        <f t="shared" si="0"/>
        <v>100</v>
      </c>
      <c r="T11" s="769" t="s">
        <v>17</v>
      </c>
      <c r="U11" s="770">
        <f t="shared" si="1"/>
        <v>100</v>
      </c>
      <c r="V11" s="769" t="s">
        <v>17</v>
      </c>
      <c r="W11" s="770">
        <f t="shared" si="2"/>
        <v>100</v>
      </c>
      <c r="X11" s="771"/>
      <c r="Y11" s="3033"/>
      <c r="Z11" s="55" t="str">
        <f t="shared" si="7"/>
        <v>容积率</v>
      </c>
      <c r="AA11" s="772">
        <f t="shared" si="3"/>
        <v>1</v>
      </c>
      <c r="AB11" s="772">
        <f t="shared" si="4"/>
        <v>1</v>
      </c>
      <c r="AC11" s="772">
        <f t="shared" si="5"/>
        <v>1</v>
      </c>
    </row>
    <row r="12" spans="1:29" s="117" customFormat="1" ht="15" hidden="1">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193"/>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hidden="1">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3"/>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hidden="1"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3"/>
      <c r="Q14" s="1795">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83" t="s">
        <v>2559</v>
      </c>
      <c r="Q15" s="1810" t="str">
        <f t="shared" si="6"/>
        <v>商业繁华度</v>
      </c>
      <c r="R15" s="773" t="s">
        <v>17</v>
      </c>
      <c r="S15" s="774">
        <f t="shared" si="0"/>
        <v>100</v>
      </c>
      <c r="T15" s="773" t="s">
        <v>17</v>
      </c>
      <c r="U15" s="774">
        <f t="shared" si="1"/>
        <v>100</v>
      </c>
      <c r="V15" s="773" t="s">
        <v>17</v>
      </c>
      <c r="W15" s="774">
        <f t="shared" si="2"/>
        <v>100</v>
      </c>
      <c r="X15" s="1813"/>
      <c r="Y15" s="3185" t="s">
        <v>2559</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184"/>
      <c r="Q16" s="1810"/>
      <c r="R16" s="773"/>
      <c r="S16" s="774"/>
      <c r="T16" s="773"/>
      <c r="U16" s="774"/>
      <c r="V16" s="773"/>
      <c r="W16" s="774"/>
      <c r="X16" s="1813"/>
      <c r="Y16" s="3186"/>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84"/>
      <c r="Q17" s="1810" t="str">
        <f>B17</f>
        <v>交通便捷度</v>
      </c>
      <c r="R17" s="773" t="s">
        <v>17</v>
      </c>
      <c r="S17" s="774">
        <f>F17</f>
        <v>100</v>
      </c>
      <c r="T17" s="773" t="s">
        <v>17</v>
      </c>
      <c r="U17" s="774">
        <f>H17</f>
        <v>100</v>
      </c>
      <c r="V17" s="773" t="s">
        <v>17</v>
      </c>
      <c r="W17" s="774">
        <f>J17</f>
        <v>100</v>
      </c>
      <c r="X17" s="1813"/>
      <c r="Y17" s="318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184"/>
      <c r="Q18" s="1810"/>
      <c r="R18" s="773"/>
      <c r="S18" s="774"/>
      <c r="T18" s="773"/>
      <c r="U18" s="774"/>
      <c r="V18" s="773"/>
      <c r="W18" s="774"/>
      <c r="X18" s="1813"/>
      <c r="Y18" s="3186"/>
      <c r="Z18" s="1814"/>
      <c r="AA18" s="1811">
        <v>1</v>
      </c>
      <c r="AB18" s="1811">
        <v>1</v>
      </c>
      <c r="AC18" s="1811">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84"/>
      <c r="Q19" s="1810" t="str">
        <f>B19</f>
        <v>公共配套设施</v>
      </c>
      <c r="R19" s="773" t="s">
        <v>17</v>
      </c>
      <c r="S19" s="774">
        <f>F19</f>
        <v>100</v>
      </c>
      <c r="T19" s="773" t="s">
        <v>17</v>
      </c>
      <c r="U19" s="774">
        <f>H19</f>
        <v>100</v>
      </c>
      <c r="V19" s="773" t="s">
        <v>17</v>
      </c>
      <c r="W19" s="774">
        <f>J19</f>
        <v>100</v>
      </c>
      <c r="X19" s="1813"/>
      <c r="Y19" s="318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184"/>
      <c r="Q20" s="1810"/>
      <c r="R20" s="773"/>
      <c r="S20" s="774"/>
      <c r="T20" s="773"/>
      <c r="U20" s="774"/>
      <c r="V20" s="773"/>
      <c r="W20" s="774"/>
      <c r="X20" s="1813"/>
      <c r="Y20" s="3186"/>
      <c r="Z20" s="1814"/>
      <c r="AA20" s="1811">
        <v>1</v>
      </c>
      <c r="AB20" s="1811">
        <v>1</v>
      </c>
      <c r="AC20" s="1811">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84"/>
      <c r="Q21" s="1810" t="str">
        <f>B21</f>
        <v>基础设施水平</v>
      </c>
      <c r="R21" s="773" t="s">
        <v>17</v>
      </c>
      <c r="S21" s="774">
        <f>F21</f>
        <v>100</v>
      </c>
      <c r="T21" s="773" t="s">
        <v>17</v>
      </c>
      <c r="U21" s="774">
        <f>H21</f>
        <v>100</v>
      </c>
      <c r="V21" s="773" t="s">
        <v>17</v>
      </c>
      <c r="W21" s="774">
        <f>J21</f>
        <v>100</v>
      </c>
      <c r="X21" s="1813"/>
      <c r="Y21" s="318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184"/>
      <c r="Q22" s="1810"/>
      <c r="R22" s="773"/>
      <c r="S22" s="774"/>
      <c r="T22" s="773"/>
      <c r="U22" s="774"/>
      <c r="V22" s="773"/>
      <c r="W22" s="774"/>
      <c r="X22" s="1813"/>
      <c r="Y22" s="3186"/>
      <c r="Z22" s="1814"/>
      <c r="AA22" s="1811">
        <v>1</v>
      </c>
      <c r="AB22" s="1811">
        <v>1</v>
      </c>
      <c r="AC22" s="1811">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84"/>
      <c r="Q23" s="1810" t="str">
        <f>B23</f>
        <v>自然及人文环境</v>
      </c>
      <c r="R23" s="773" t="s">
        <v>17</v>
      </c>
      <c r="S23" s="774">
        <f>F23</f>
        <v>100</v>
      </c>
      <c r="T23" s="773" t="s">
        <v>17</v>
      </c>
      <c r="U23" s="774">
        <f>H23</f>
        <v>100</v>
      </c>
      <c r="V23" s="773" t="s">
        <v>17</v>
      </c>
      <c r="W23" s="774">
        <f>J23</f>
        <v>100</v>
      </c>
      <c r="X23" s="1813"/>
      <c r="Y23" s="3186"/>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184"/>
      <c r="Q24" s="1810"/>
      <c r="R24" s="773"/>
      <c r="S24" s="774"/>
      <c r="T24" s="773"/>
      <c r="U24" s="774"/>
      <c r="V24" s="773"/>
      <c r="W24" s="774"/>
      <c r="X24" s="1813"/>
      <c r="Y24" s="3186"/>
      <c r="Z24" s="1814"/>
      <c r="AA24" s="1811">
        <v>1</v>
      </c>
      <c r="AB24" s="1811">
        <v>1</v>
      </c>
      <c r="AC24" s="1811">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84"/>
      <c r="Q25" s="1810" t="str">
        <f t="shared" ref="Q25:Q46" si="11">B25</f>
        <v>临街状况</v>
      </c>
      <c r="R25" s="773" t="s">
        <v>17</v>
      </c>
      <c r="S25" s="774">
        <f>F25</f>
        <v>100</v>
      </c>
      <c r="T25" s="773" t="s">
        <v>17</v>
      </c>
      <c r="U25" s="774">
        <f>H25</f>
        <v>100</v>
      </c>
      <c r="V25" s="773" t="s">
        <v>17</v>
      </c>
      <c r="W25" s="774">
        <f>J25</f>
        <v>100</v>
      </c>
      <c r="X25" s="1813"/>
      <c r="Y25" s="3186"/>
      <c r="Z25" s="1814" t="str">
        <f>Q25</f>
        <v>临街状况</v>
      </c>
      <c r="AA25" s="1811">
        <f t="shared" si="3"/>
        <v>1</v>
      </c>
      <c r="AB25" s="1811">
        <f t="shared" si="4"/>
        <v>1</v>
      </c>
      <c r="AC25" s="1811">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84"/>
      <c r="Q26" s="1810" t="str">
        <f t="shared" si="11"/>
        <v>平面位置/可视性</v>
      </c>
      <c r="R26" s="773" t="s">
        <v>17</v>
      </c>
      <c r="S26" s="774">
        <f>F26</f>
        <v>100</v>
      </c>
      <c r="T26" s="773" t="s">
        <v>17</v>
      </c>
      <c r="U26" s="774">
        <f>H26</f>
        <v>100</v>
      </c>
      <c r="V26" s="773" t="s">
        <v>17</v>
      </c>
      <c r="W26" s="774">
        <f>J26</f>
        <v>100</v>
      </c>
      <c r="X26" s="1813"/>
      <c r="Y26" s="3186"/>
      <c r="Z26" s="1814" t="str">
        <f>Q26</f>
        <v>平面位置/可视性</v>
      </c>
      <c r="AA26" s="1811">
        <f t="shared" si="3"/>
        <v>1</v>
      </c>
      <c r="AB26" s="1811">
        <f t="shared" si="4"/>
        <v>1</v>
      </c>
      <c r="AC26" s="1811">
        <f t="shared" si="5"/>
        <v>1</v>
      </c>
    </row>
    <row r="27" spans="1:29" s="117"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184"/>
      <c r="Q27" s="1795" t="str">
        <f t="shared" si="11"/>
        <v>人流量</v>
      </c>
      <c r="R27" s="769" t="s">
        <v>17</v>
      </c>
      <c r="S27" s="770">
        <f>F27</f>
        <v>100</v>
      </c>
      <c r="T27" s="769" t="s">
        <v>17</v>
      </c>
      <c r="U27" s="770">
        <f>H27</f>
        <v>100</v>
      </c>
      <c r="V27" s="769" t="s">
        <v>17</v>
      </c>
      <c r="W27" s="770">
        <f>J27</f>
        <v>100</v>
      </c>
      <c r="X27" s="771"/>
      <c r="Y27" s="3186"/>
      <c r="Z27" s="55" t="str">
        <f>Q27</f>
        <v>人流量</v>
      </c>
      <c r="AA27" s="1811">
        <f>D27/F27</f>
        <v>1</v>
      </c>
      <c r="AB27" s="1811">
        <f>D27/H27</f>
        <v>1</v>
      </c>
      <c r="AC27" s="1811">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84"/>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86"/>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84"/>
      <c r="Q29" s="1810">
        <f t="shared" si="11"/>
        <v>111</v>
      </c>
      <c r="R29" s="773" t="s">
        <v>17</v>
      </c>
      <c r="S29" s="774">
        <f t="shared" si="12"/>
        <v>100</v>
      </c>
      <c r="T29" s="773" t="s">
        <v>17</v>
      </c>
      <c r="U29" s="774">
        <f t="shared" si="13"/>
        <v>100</v>
      </c>
      <c r="V29" s="773" t="s">
        <v>17</v>
      </c>
      <c r="W29" s="774">
        <f t="shared" si="14"/>
        <v>100</v>
      </c>
      <c r="X29" s="1813"/>
      <c r="Y29" s="3186"/>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84"/>
      <c r="Q30" s="1810">
        <f t="shared" si="11"/>
        <v>111</v>
      </c>
      <c r="R30" s="773" t="s">
        <v>17</v>
      </c>
      <c r="S30" s="774">
        <f t="shared" si="12"/>
        <v>100</v>
      </c>
      <c r="T30" s="773" t="s">
        <v>17</v>
      </c>
      <c r="U30" s="774">
        <f t="shared" si="13"/>
        <v>100</v>
      </c>
      <c r="V30" s="773" t="s">
        <v>17</v>
      </c>
      <c r="W30" s="774">
        <f t="shared" si="14"/>
        <v>100</v>
      </c>
      <c r="X30" s="1813"/>
      <c r="Y30" s="3186"/>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84"/>
      <c r="Q31" s="1810">
        <f t="shared" si="11"/>
        <v>111</v>
      </c>
      <c r="R31" s="773" t="s">
        <v>17</v>
      </c>
      <c r="S31" s="774">
        <f t="shared" si="12"/>
        <v>100</v>
      </c>
      <c r="T31" s="773" t="s">
        <v>17</v>
      </c>
      <c r="U31" s="774">
        <f t="shared" si="13"/>
        <v>100</v>
      </c>
      <c r="V31" s="773" t="s">
        <v>17</v>
      </c>
      <c r="W31" s="774">
        <f t="shared" si="14"/>
        <v>100</v>
      </c>
      <c r="X31" s="1813"/>
      <c r="Y31" s="3186"/>
      <c r="Z31" s="1814">
        <f t="shared" si="15"/>
        <v>111</v>
      </c>
      <c r="AA31" s="1811">
        <f t="shared" si="3"/>
        <v>1</v>
      </c>
      <c r="AB31" s="1811">
        <f t="shared" si="4"/>
        <v>1</v>
      </c>
      <c r="AC31" s="1811">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187" t="s">
        <v>2564</v>
      </c>
      <c r="Q32" s="1810" t="str">
        <f t="shared" si="11"/>
        <v>商业类型</v>
      </c>
      <c r="R32" s="773" t="s">
        <v>17</v>
      </c>
      <c r="S32" s="774">
        <f t="shared" si="12"/>
        <v>100</v>
      </c>
      <c r="T32" s="773" t="s">
        <v>17</v>
      </c>
      <c r="U32" s="774">
        <f t="shared" si="13"/>
        <v>100</v>
      </c>
      <c r="V32" s="773" t="s">
        <v>17</v>
      </c>
      <c r="W32" s="774">
        <f t="shared" si="14"/>
        <v>100</v>
      </c>
      <c r="X32" s="1813"/>
      <c r="Y32" s="3190" t="s">
        <v>2564</v>
      </c>
      <c r="Z32" s="1814" t="str">
        <f t="shared" si="15"/>
        <v>商业类型</v>
      </c>
      <c r="AA32" s="1811">
        <f t="shared" si="3"/>
        <v>1</v>
      </c>
      <c r="AB32" s="1811">
        <f t="shared" si="4"/>
        <v>1</v>
      </c>
      <c r="AC32" s="1811">
        <f t="shared" si="5"/>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188"/>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1" t="e">
        <f t="shared" si="3"/>
        <v>#N/A</v>
      </c>
      <c r="AB33" s="1811" t="e">
        <f t="shared" si="4"/>
        <v>#N/A</v>
      </c>
      <c r="AC33" s="1811"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188"/>
      <c r="Q34" s="1810" t="str">
        <f t="shared" si="11"/>
        <v>建筑结构</v>
      </c>
      <c r="R34" s="773" t="s">
        <v>17</v>
      </c>
      <c r="S34" s="774">
        <f t="shared" si="12"/>
        <v>100</v>
      </c>
      <c r="T34" s="773" t="s">
        <v>17</v>
      </c>
      <c r="U34" s="774">
        <f t="shared" si="13"/>
        <v>100</v>
      </c>
      <c r="V34" s="773" t="s">
        <v>17</v>
      </c>
      <c r="W34" s="774">
        <f t="shared" si="14"/>
        <v>100</v>
      </c>
      <c r="X34" s="1813"/>
      <c r="Y34" s="3190"/>
      <c r="Z34" s="1814" t="str">
        <f t="shared" si="15"/>
        <v>建筑结构</v>
      </c>
      <c r="AA34" s="1811">
        <f t="shared" si="3"/>
        <v>1</v>
      </c>
      <c r="AB34" s="1811">
        <f t="shared" si="4"/>
        <v>1</v>
      </c>
      <c r="AC34" s="1811">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188"/>
      <c r="Q35" s="1810" t="str">
        <f t="shared" si="11"/>
        <v>公共部分装修</v>
      </c>
      <c r="R35" s="773" t="s">
        <v>17</v>
      </c>
      <c r="S35" s="774">
        <f t="shared" si="12"/>
        <v>100</v>
      </c>
      <c r="T35" s="773" t="s">
        <v>17</v>
      </c>
      <c r="U35" s="774">
        <f t="shared" si="13"/>
        <v>100</v>
      </c>
      <c r="V35" s="773" t="s">
        <v>17</v>
      </c>
      <c r="W35" s="774">
        <f t="shared" si="14"/>
        <v>100</v>
      </c>
      <c r="X35" s="1813"/>
      <c r="Y35" s="3190"/>
      <c r="Z35" s="1814" t="str">
        <f t="shared" si="15"/>
        <v>公共部分装修</v>
      </c>
      <c r="AA35" s="1811">
        <f t="shared" si="3"/>
        <v>1</v>
      </c>
      <c r="AB35" s="1811">
        <f t="shared" si="4"/>
        <v>1</v>
      </c>
      <c r="AC35" s="1811">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88"/>
      <c r="Q36" s="1810" t="str">
        <f t="shared" si="11"/>
        <v>成新度</v>
      </c>
      <c r="R36" s="773" t="s">
        <v>17</v>
      </c>
      <c r="S36" s="774" t="e">
        <f t="shared" si="12"/>
        <v>#N/A</v>
      </c>
      <c r="T36" s="773" t="s">
        <v>17</v>
      </c>
      <c r="U36" s="774" t="e">
        <f t="shared" si="13"/>
        <v>#N/A</v>
      </c>
      <c r="V36" s="773" t="s">
        <v>17</v>
      </c>
      <c r="W36" s="774" t="e">
        <f t="shared" si="14"/>
        <v>#N/A</v>
      </c>
      <c r="X36" s="1813"/>
      <c r="Y36" s="3190"/>
      <c r="Z36" s="1814" t="str">
        <f t="shared" si="15"/>
        <v>成新度</v>
      </c>
      <c r="AA36" s="1811" t="e">
        <f t="shared" si="3"/>
        <v>#N/A</v>
      </c>
      <c r="AB36" s="1811" t="e">
        <f t="shared" si="4"/>
        <v>#N/A</v>
      </c>
      <c r="AC36" s="1811" t="e">
        <f t="shared" si="5"/>
        <v>#N/A</v>
      </c>
    </row>
    <row r="37" spans="1:29" s="117" customFormat="1" ht="15">
      <c r="A37" s="472"/>
      <c r="B37" s="421" t="s">
        <v>2662</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188"/>
      <c r="Q37" s="1795"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188" t="s">
        <v>2564</v>
      </c>
      <c r="Q38" s="1810" t="str">
        <f t="shared" si="11"/>
        <v>业态</v>
      </c>
      <c r="R38" s="773" t="s">
        <v>17</v>
      </c>
      <c r="S38" s="774">
        <f t="shared" si="12"/>
        <v>100</v>
      </c>
      <c r="T38" s="773" t="s">
        <v>17</v>
      </c>
      <c r="U38" s="774">
        <f t="shared" si="13"/>
        <v>100</v>
      </c>
      <c r="V38" s="773" t="s">
        <v>17</v>
      </c>
      <c r="W38" s="774">
        <f t="shared" si="14"/>
        <v>100</v>
      </c>
      <c r="X38" s="1813"/>
      <c r="Y38" s="3190" t="s">
        <v>2564</v>
      </c>
      <c r="Z38" s="1814" t="str">
        <f t="shared" si="15"/>
        <v>业态</v>
      </c>
      <c r="AA38" s="1811">
        <f t="shared" si="3"/>
        <v>1</v>
      </c>
      <c r="AB38" s="1811">
        <f t="shared" si="4"/>
        <v>1</v>
      </c>
      <c r="AC38" s="1811">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188"/>
      <c r="Q39" s="1810" t="str">
        <f t="shared" si="11"/>
        <v>层高</v>
      </c>
      <c r="R39" s="773" t="s">
        <v>17</v>
      </c>
      <c r="S39" s="774">
        <f t="shared" si="12"/>
        <v>100</v>
      </c>
      <c r="T39" s="773" t="s">
        <v>17</v>
      </c>
      <c r="U39" s="774">
        <f t="shared" si="13"/>
        <v>100</v>
      </c>
      <c r="V39" s="773" t="s">
        <v>17</v>
      </c>
      <c r="W39" s="774">
        <f t="shared" si="14"/>
        <v>100</v>
      </c>
      <c r="X39" s="1813"/>
      <c r="Y39" s="3190"/>
      <c r="Z39" s="1814" t="str">
        <f t="shared" si="15"/>
        <v>层高</v>
      </c>
      <c r="AA39" s="1811">
        <f t="shared" si="3"/>
        <v>1</v>
      </c>
      <c r="AB39" s="1811">
        <f t="shared" si="4"/>
        <v>1</v>
      </c>
      <c r="AC39" s="1811">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88"/>
      <c r="Q40" s="1810" t="str">
        <f t="shared" si="11"/>
        <v>单套建筑面积</v>
      </c>
      <c r="R40" s="773" t="s">
        <v>17</v>
      </c>
      <c r="S40" s="774">
        <f t="shared" si="12"/>
        <v>100</v>
      </c>
      <c r="T40" s="773" t="s">
        <v>17</v>
      </c>
      <c r="U40" s="774">
        <f t="shared" si="13"/>
        <v>100</v>
      </c>
      <c r="V40" s="773" t="s">
        <v>17</v>
      </c>
      <c r="W40" s="774">
        <f t="shared" si="14"/>
        <v>100</v>
      </c>
      <c r="X40" s="1813"/>
      <c r="Y40" s="3190"/>
      <c r="Z40" s="1814" t="str">
        <f t="shared" si="15"/>
        <v>单套建筑面积</v>
      </c>
      <c r="AA40" s="1811">
        <f t="shared" si="3"/>
        <v>1</v>
      </c>
      <c r="AB40" s="1811">
        <f t="shared" si="4"/>
        <v>1</v>
      </c>
      <c r="AC40" s="1811">
        <f t="shared" si="5"/>
        <v>1</v>
      </c>
    </row>
    <row r="41" spans="1:29" s="470" customFormat="1" ht="15">
      <c r="A41" s="467"/>
      <c r="B41" s="1812"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1">
        <f t="shared" si="3"/>
        <v>1</v>
      </c>
      <c r="AB41" s="1811">
        <f t="shared" si="4"/>
        <v>1</v>
      </c>
      <c r="AC41" s="1811">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188"/>
      <c r="Q42" s="1810" t="str">
        <f t="shared" si="11"/>
        <v>内部装修</v>
      </c>
      <c r="R42" s="773" t="s">
        <v>17</v>
      </c>
      <c r="S42" s="774">
        <f t="shared" si="12"/>
        <v>100</v>
      </c>
      <c r="T42" s="773" t="s">
        <v>17</v>
      </c>
      <c r="U42" s="774">
        <f t="shared" si="13"/>
        <v>100</v>
      </c>
      <c r="V42" s="773" t="s">
        <v>17</v>
      </c>
      <c r="W42" s="774">
        <f t="shared" si="14"/>
        <v>100</v>
      </c>
      <c r="X42" s="1813"/>
      <c r="Y42" s="3190"/>
      <c r="Z42" s="1814" t="str">
        <f t="shared" si="15"/>
        <v>内部装修</v>
      </c>
      <c r="AA42" s="1811">
        <f t="shared" si="3"/>
        <v>1</v>
      </c>
      <c r="AB42" s="1811">
        <f t="shared" si="4"/>
        <v>1</v>
      </c>
      <c r="AC42" s="1811">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188"/>
      <c r="Q43" s="1810" t="str">
        <f t="shared" si="11"/>
        <v>内部装修维护情况</v>
      </c>
      <c r="R43" s="773" t="s">
        <v>17</v>
      </c>
      <c r="S43" s="774">
        <f t="shared" si="12"/>
        <v>100</v>
      </c>
      <c r="T43" s="773" t="s">
        <v>17</v>
      </c>
      <c r="U43" s="774">
        <f t="shared" si="13"/>
        <v>100</v>
      </c>
      <c r="V43" s="773" t="s">
        <v>17</v>
      </c>
      <c r="W43" s="774">
        <f t="shared" si="14"/>
        <v>100</v>
      </c>
      <c r="X43" s="1813"/>
      <c r="Y43" s="3190"/>
      <c r="Z43" s="1814" t="str">
        <f t="shared" si="15"/>
        <v>内部装修维护情况</v>
      </c>
      <c r="AA43" s="1811">
        <f t="shared" si="3"/>
        <v>1</v>
      </c>
      <c r="AB43" s="1811">
        <f t="shared" si="4"/>
        <v>1</v>
      </c>
      <c r="AC43" s="1811">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188"/>
      <c r="Q44" s="1795">
        <f t="shared" si="11"/>
        <v>111</v>
      </c>
      <c r="R44" s="769" t="s">
        <v>17</v>
      </c>
      <c r="S44" s="770">
        <f t="shared" si="12"/>
        <v>100</v>
      </c>
      <c r="T44" s="769" t="s">
        <v>17</v>
      </c>
      <c r="U44" s="770">
        <f t="shared" si="13"/>
        <v>100</v>
      </c>
      <c r="V44" s="769" t="s">
        <v>17</v>
      </c>
      <c r="W44" s="770">
        <f t="shared" si="14"/>
        <v>100</v>
      </c>
      <c r="X44" s="771"/>
      <c r="Y44" s="3190"/>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88"/>
      <c r="Q45" s="1810">
        <f t="shared" si="11"/>
        <v>111</v>
      </c>
      <c r="R45" s="773" t="s">
        <v>17</v>
      </c>
      <c r="S45" s="774">
        <f t="shared" si="12"/>
        <v>100</v>
      </c>
      <c r="T45" s="773" t="s">
        <v>17</v>
      </c>
      <c r="U45" s="774">
        <f t="shared" si="13"/>
        <v>100</v>
      </c>
      <c r="V45" s="773" t="s">
        <v>17</v>
      </c>
      <c r="W45" s="774">
        <f t="shared" si="14"/>
        <v>100</v>
      </c>
      <c r="X45" s="1813"/>
      <c r="Y45" s="3190"/>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89"/>
      <c r="Q46" s="1810">
        <f t="shared" si="11"/>
        <v>111</v>
      </c>
      <c r="R46" s="773" t="s">
        <v>17</v>
      </c>
      <c r="S46" s="774">
        <f t="shared" si="12"/>
        <v>100</v>
      </c>
      <c r="T46" s="773" t="s">
        <v>17</v>
      </c>
      <c r="U46" s="774">
        <f t="shared" si="13"/>
        <v>100</v>
      </c>
      <c r="V46" s="773" t="s">
        <v>17</v>
      </c>
      <c r="W46" s="774">
        <f t="shared" si="14"/>
        <v>100</v>
      </c>
      <c r="X46" s="1813"/>
      <c r="Y46" s="3191"/>
      <c r="Z46" s="1814">
        <f t="shared" si="15"/>
        <v>111</v>
      </c>
      <c r="AA46" s="1811">
        <f t="shared" si="3"/>
        <v>1</v>
      </c>
      <c r="AB46" s="1811">
        <f t="shared" si="4"/>
        <v>1</v>
      </c>
      <c r="AC46" s="1811">
        <f t="shared" si="5"/>
        <v>1</v>
      </c>
    </row>
    <row r="47" spans="1:29" ht="15">
      <c r="A47" s="478" t="s">
        <v>2576</v>
      </c>
      <c r="B47" s="479"/>
      <c r="C47" s="1408" t="s">
        <v>1</v>
      </c>
      <c r="D47" s="1409"/>
      <c r="E47" s="1410"/>
      <c r="F47" s="1411"/>
      <c r="G47" s="1412"/>
      <c r="H47" s="1413"/>
      <c r="I47" s="1410"/>
      <c r="J47" s="1413"/>
      <c r="K47" s="782"/>
      <c r="L47" s="1144"/>
      <c r="M47" s="1145"/>
      <c r="N47" s="1132"/>
      <c r="O47" s="1145"/>
      <c r="P47" s="3178" t="str">
        <f>A47</f>
        <v>成交单价（元/平方米）</v>
      </c>
      <c r="Q47" s="3178"/>
      <c r="R47" s="3192">
        <f>E47</f>
        <v>0</v>
      </c>
      <c r="S47" s="3192"/>
      <c r="T47" s="3192">
        <f>G47</f>
        <v>0</v>
      </c>
      <c r="U47" s="3192"/>
      <c r="V47" s="3192">
        <f>I47</f>
        <v>0</v>
      </c>
      <c r="W47" s="3192"/>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1"/>
    </row>
    <row r="59" spans="1:29" s="117" customFormat="1" ht="15">
      <c r="A59" s="508"/>
      <c r="B59" s="509"/>
      <c r="C59" s="1573">
        <v>100</v>
      </c>
      <c r="D59" s="511"/>
      <c r="E59" s="511"/>
      <c r="F59" s="511"/>
      <c r="G59" s="511"/>
      <c r="H59" s="511"/>
      <c r="I59" s="511"/>
      <c r="J59" s="511"/>
      <c r="K59" s="511"/>
      <c r="L59" s="511"/>
      <c r="M59" s="512"/>
      <c r="N59" s="511"/>
      <c r="O59" s="512"/>
      <c r="P59" s="2630"/>
    </row>
    <row r="60" spans="1:29" s="117" customFormat="1" ht="15.75" thickBot="1">
      <c r="A60" s="514" t="s">
        <v>2584</v>
      </c>
      <c r="B60" s="515"/>
      <c r="C60" s="516"/>
      <c r="D60" s="517"/>
      <c r="E60" s="517"/>
      <c r="F60" s="517"/>
      <c r="G60" s="517"/>
      <c r="H60" s="517"/>
      <c r="I60" s="517"/>
      <c r="J60" s="517"/>
      <c r="K60" s="517"/>
      <c r="L60" s="517"/>
      <c r="M60" s="518"/>
      <c r="N60" s="517"/>
      <c r="O60" s="518"/>
      <c r="P60" s="2630"/>
      <c r="Q60" s="503"/>
    </row>
    <row r="61" spans="1:29" s="117" customFormat="1" ht="15">
      <c r="A61" s="520" t="s">
        <v>2549</v>
      </c>
      <c r="B61" s="509"/>
      <c r="C61" s="521" t="s">
        <v>2651</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t="str">
        <f>C9</f>
        <v>商业</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v>0</v>
      </c>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2679</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7"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60" sqref="A6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671" t="s">
        <v>2685</v>
      </c>
      <c r="C1" s="1620" t="s">
        <v>2529</v>
      </c>
      <c r="D1" s="1621"/>
      <c r="E1" s="1630"/>
      <c r="F1" s="2586" t="s">
        <v>3081</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f>IF(C2="——",ROUND(C50*D3/10000,0),ROUND(C50*D3/10000,0)-D2)</f>
        <v>939485</v>
      </c>
      <c r="C2" s="2588" t="s">
        <v>70</v>
      </c>
      <c r="D2" s="1366" t="e">
        <f ca="1">SUMIF(INDIRECT("'"&amp;F2&amp;"'"&amp;"!A:A"),"承租人权益价值",INDIRECT("'"&amp;F2&amp;"'"&amp;"!c:c"))</f>
        <v>#REF!</v>
      </c>
      <c r="E2" s="2589" t="s">
        <v>2327</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56534</v>
      </c>
      <c r="C3" s="399" t="s">
        <v>2643</v>
      </c>
      <c r="D3" s="398">
        <f>IF(D1="",'数据-汇总表'!E3,SUMIF('数据-汇总表'!$C19:$C33,D1,'数据-汇总表'!$E19:$E33))</f>
        <v>166180.56000000003</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0" t="s">
        <v>2650</v>
      </c>
      <c r="Q4" s="3231"/>
      <c r="R4" s="3234" t="s">
        <v>2646</v>
      </c>
      <c r="S4" s="3235"/>
      <c r="T4" s="3234" t="s">
        <v>2647</v>
      </c>
      <c r="U4" s="3235"/>
      <c r="V4" s="3236" t="s">
        <v>2648</v>
      </c>
      <c r="W4" s="3236"/>
      <c r="X4" s="2672"/>
      <c r="Y4" s="3234" t="s">
        <v>2650</v>
      </c>
      <c r="Z4" s="3235"/>
      <c r="AA4" s="3239" t="s">
        <v>2646</v>
      </c>
      <c r="AB4" s="3239" t="s">
        <v>2647</v>
      </c>
      <c r="AC4" s="3227" t="s">
        <v>2648</v>
      </c>
    </row>
    <row r="5" spans="1:29" ht="15">
      <c r="A5" s="403"/>
      <c r="B5" s="404"/>
      <c r="C5" s="3238" t="s">
        <v>3101</v>
      </c>
      <c r="D5" s="3216"/>
      <c r="E5" s="3222" t="str">
        <f>案例!B3</f>
        <v>广安门购物中心</v>
      </c>
      <c r="F5" s="3223"/>
      <c r="G5" s="3215" t="str">
        <f>案例!B4</f>
        <v>泰禾长安中心
B栋3~21层</v>
      </c>
      <c r="H5" s="3216"/>
      <c r="I5" s="3215" t="str">
        <f>案例!B5</f>
        <v>翠宫饭店</v>
      </c>
      <c r="J5" s="3216"/>
      <c r="K5" s="609"/>
      <c r="L5" s="1131"/>
      <c r="M5" s="1132"/>
      <c r="N5" s="1132"/>
      <c r="O5" s="1132"/>
      <c r="P5" s="3232"/>
      <c r="Q5" s="3204"/>
      <c r="R5" s="3209"/>
      <c r="S5" s="3210"/>
      <c r="T5" s="3209"/>
      <c r="U5" s="3210"/>
      <c r="V5" s="3192"/>
      <c r="W5" s="3192"/>
      <c r="X5" s="1813"/>
      <c r="Y5" s="3209"/>
      <c r="Z5" s="3210"/>
      <c r="AA5" s="3195"/>
      <c r="AB5" s="3195"/>
      <c r="AC5" s="3228"/>
    </row>
    <row r="6" spans="1:29" ht="15.75" thickBot="1">
      <c r="A6" s="405"/>
      <c r="B6" s="406"/>
      <c r="C6" s="3213" t="s">
        <v>2545</v>
      </c>
      <c r="D6" s="3214"/>
      <c r="E6" s="3220" t="str">
        <f>案例!D3</f>
        <v>西城区</v>
      </c>
      <c r="F6" s="3221"/>
      <c r="G6" s="3213" t="str">
        <f>案例!D4</f>
        <v>石景山</v>
      </c>
      <c r="H6" s="3214"/>
      <c r="I6" s="3213" t="str">
        <f>案例!D5</f>
        <v>海淀区</v>
      </c>
      <c r="J6" s="3214"/>
      <c r="K6" s="609" t="s">
        <v>2546</v>
      </c>
      <c r="L6" s="1131"/>
      <c r="M6" s="1132"/>
      <c r="N6" s="1132"/>
      <c r="O6" s="1132"/>
      <c r="P6" s="3233"/>
      <c r="Q6" s="3206"/>
      <c r="R6" s="3209"/>
      <c r="S6" s="3210"/>
      <c r="T6" s="3211"/>
      <c r="U6" s="3212"/>
      <c r="V6" s="3192"/>
      <c r="W6" s="3192"/>
      <c r="X6" s="1813"/>
      <c r="Y6" s="3211"/>
      <c r="Z6" s="3212"/>
      <c r="AA6" s="3196"/>
      <c r="AB6" s="3196"/>
      <c r="AC6" s="3229"/>
    </row>
    <row r="7" spans="1:29" s="117" customFormat="1" ht="15.75" thickBot="1">
      <c r="A7" s="407" t="s">
        <v>2547</v>
      </c>
      <c r="B7" s="408"/>
      <c r="C7" s="409">
        <f>'数据-取费表'!B2</f>
        <v>43468</v>
      </c>
      <c r="D7" s="410">
        <v>100</v>
      </c>
      <c r="E7" s="411">
        <f>案例!E3</f>
        <v>43070</v>
      </c>
      <c r="F7" s="412">
        <f>SUMIF(59:59,YEAR(E7)&amp;"-"&amp;MONTH(E7),60:60)</f>
        <v>96</v>
      </c>
      <c r="G7" s="411">
        <f>案例!E4</f>
        <v>43070</v>
      </c>
      <c r="H7" s="410">
        <f>SUMIF(59:59,YEAR(G7)&amp;"-"&amp;MONTH(G7),60:60)</f>
        <v>96</v>
      </c>
      <c r="I7" s="411">
        <f>案例!E5</f>
        <v>43070</v>
      </c>
      <c r="J7" s="410">
        <f>SUMIF(59:59,YEAR(I7)&amp;"-"&amp;MONTH(I7),60:60)</f>
        <v>96</v>
      </c>
      <c r="K7" s="610"/>
      <c r="L7" s="1133"/>
      <c r="M7" s="1134"/>
      <c r="N7" s="1134"/>
      <c r="O7" s="1134"/>
      <c r="P7" s="3237" t="s">
        <v>2548</v>
      </c>
      <c r="Q7" s="3219"/>
      <c r="R7" s="769" t="s">
        <v>17</v>
      </c>
      <c r="S7" s="770">
        <f t="shared" ref="S7:S15" si="0">F7</f>
        <v>96</v>
      </c>
      <c r="T7" s="769" t="s">
        <v>17</v>
      </c>
      <c r="U7" s="770">
        <f t="shared" ref="U7:U15" si="1">H7</f>
        <v>96</v>
      </c>
      <c r="V7" s="769" t="s">
        <v>17</v>
      </c>
      <c r="W7" s="770">
        <f t="shared" ref="W7:W15" si="2">J7</f>
        <v>96</v>
      </c>
      <c r="X7" s="771"/>
      <c r="Y7" s="3217" t="s">
        <v>2548</v>
      </c>
      <c r="Z7" s="3218"/>
      <c r="AA7" s="772">
        <f>D7/F7</f>
        <v>1.0416666666666667</v>
      </c>
      <c r="AB7" s="772">
        <f>D7/H7</f>
        <v>1.0416666666666667</v>
      </c>
      <c r="AC7" s="2673">
        <f>D7/J7</f>
        <v>1.0416666666666667</v>
      </c>
    </row>
    <row r="8" spans="1:29" s="117"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33"/>
      <c r="M8" s="1134"/>
      <c r="N8" s="1134"/>
      <c r="O8" s="1134"/>
      <c r="P8" s="3237" t="s">
        <v>2551</v>
      </c>
      <c r="Q8" s="3218"/>
      <c r="R8" s="769" t="s">
        <v>17</v>
      </c>
      <c r="S8" s="770">
        <f t="shared" si="0"/>
        <v>100</v>
      </c>
      <c r="T8" s="769" t="s">
        <v>17</v>
      </c>
      <c r="U8" s="770">
        <f t="shared" si="1"/>
        <v>100</v>
      </c>
      <c r="V8" s="769" t="s">
        <v>17</v>
      </c>
      <c r="W8" s="770">
        <f t="shared" si="2"/>
        <v>100</v>
      </c>
      <c r="X8" s="771"/>
      <c r="Y8" s="3217" t="s">
        <v>2551</v>
      </c>
      <c r="Z8" s="3218"/>
      <c r="AA8" s="772">
        <f t="shared" ref="AA8:AA47" si="3">D8/F8</f>
        <v>1</v>
      </c>
      <c r="AB8" s="772">
        <f t="shared" ref="AB8:AB47" si="4">D8/H8</f>
        <v>1</v>
      </c>
      <c r="AC8" s="2673">
        <f t="shared" ref="AC8:AC47" si="5">D8/J8</f>
        <v>1</v>
      </c>
    </row>
    <row r="9" spans="1:29" s="117" customFormat="1">
      <c r="A9" s="414" t="s">
        <v>2552</v>
      </c>
      <c r="B9" s="71" t="s">
        <v>2553</v>
      </c>
      <c r="C9" s="2956" t="s">
        <v>3102</v>
      </c>
      <c r="D9" s="135">
        <v>100</v>
      </c>
      <c r="E9" s="418" t="s">
        <v>27</v>
      </c>
      <c r="F9" s="135">
        <f>SUMIF(64:64,E9,65:65)-SUMIF(64:64,C9,65:65)+100</f>
        <v>100</v>
      </c>
      <c r="G9" s="418" t="s">
        <v>27</v>
      </c>
      <c r="H9" s="135">
        <f>SUMIF(64:64,G9,65:65)-SUMIF(64:64,C9,65:65)+100</f>
        <v>100</v>
      </c>
      <c r="I9" s="418" t="s">
        <v>27</v>
      </c>
      <c r="J9" s="135">
        <f>SUMIF(64:64,I9,65:65)-SUMIF(64:64,C9,65:65)+100</f>
        <v>100</v>
      </c>
      <c r="K9" s="610"/>
      <c r="L9" s="1133"/>
      <c r="M9" s="1134"/>
      <c r="N9" s="1134"/>
      <c r="O9" s="1134"/>
      <c r="P9" s="3193"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2673">
        <f t="shared" si="5"/>
        <v>1</v>
      </c>
    </row>
    <row r="10" spans="1:29" s="426" customFormat="1" ht="27">
      <c r="A10" s="420"/>
      <c r="B10" s="421" t="s">
        <v>2556</v>
      </c>
      <c r="C10" s="422" t="s">
        <v>3083</v>
      </c>
      <c r="D10" s="136">
        <v>100</v>
      </c>
      <c r="E10" s="422" t="s">
        <v>3083</v>
      </c>
      <c r="F10" s="136">
        <f>SUMIF(66:66,E10,67:67)-SUMIF(66:66,C10,67:67)+100</f>
        <v>100</v>
      </c>
      <c r="G10" s="422" t="s">
        <v>3194</v>
      </c>
      <c r="H10" s="136">
        <f>SUMIF(66:66,G10,67:67)-SUMIF(66:66,C10,67:67)+100</f>
        <v>102</v>
      </c>
      <c r="I10" s="422" t="s">
        <v>3193</v>
      </c>
      <c r="J10" s="136">
        <f>SUMIF(66:66,I10,67:67)-SUMIF(66:66,C10,67:67)+100</f>
        <v>96</v>
      </c>
      <c r="K10" s="611">
        <v>2</v>
      </c>
      <c r="L10" s="1136"/>
      <c r="M10" s="1137"/>
      <c r="N10" s="1137"/>
      <c r="O10" s="1137"/>
      <c r="P10" s="3193"/>
      <c r="Q10" s="1795" t="str">
        <f t="shared" si="6"/>
        <v>土地使用年限（年）</v>
      </c>
      <c r="R10" s="769" t="s">
        <v>17</v>
      </c>
      <c r="S10" s="770">
        <f t="shared" si="0"/>
        <v>100</v>
      </c>
      <c r="T10" s="769" t="s">
        <v>17</v>
      </c>
      <c r="U10" s="770">
        <f t="shared" si="1"/>
        <v>102</v>
      </c>
      <c r="V10" s="769" t="s">
        <v>17</v>
      </c>
      <c r="W10" s="770">
        <f t="shared" si="2"/>
        <v>96</v>
      </c>
      <c r="X10" s="771"/>
      <c r="Y10" s="3033"/>
      <c r="Z10" s="55" t="str">
        <f t="shared" si="7"/>
        <v>土地使用年限（年）</v>
      </c>
      <c r="AA10" s="772">
        <f t="shared" si="3"/>
        <v>1</v>
      </c>
      <c r="AB10" s="772">
        <f t="shared" si="4"/>
        <v>0.98039215686274506</v>
      </c>
      <c r="AC10" s="2673">
        <f t="shared" si="5"/>
        <v>1.0416666666666667</v>
      </c>
    </row>
    <row r="11" spans="1:29" ht="15" hidden="1">
      <c r="A11" s="427"/>
      <c r="B11" s="421" t="s">
        <v>2557</v>
      </c>
      <c r="C11" s="428">
        <f>'数据-汇总表'!I4</f>
        <v>6.83</v>
      </c>
      <c r="D11" s="136">
        <v>100</v>
      </c>
      <c r="E11" s="428"/>
      <c r="F11" s="136">
        <f>LOOKUP(E11,69:69,70:70)-LOOKUP(C11,69:69,70:70)+100</f>
        <v>100</v>
      </c>
      <c r="G11" s="429"/>
      <c r="H11" s="136">
        <f>LOOKUP(G11,69:69,70:70)-LOOKUP(C11,69:69,70:70)+100</f>
        <v>100</v>
      </c>
      <c r="I11" s="428"/>
      <c r="J11" s="136">
        <f>LOOKUP(I11,69:69,70:70)-LOOKUP(C11,69:69,70:70)+100</f>
        <v>100</v>
      </c>
      <c r="K11" s="611"/>
      <c r="L11" s="1139"/>
      <c r="M11" s="1132"/>
      <c r="N11" s="1132"/>
      <c r="O11" s="1132"/>
      <c r="P11" s="3193"/>
      <c r="Q11" s="1795" t="str">
        <f t="shared" si="6"/>
        <v>容积率</v>
      </c>
      <c r="R11" s="769" t="s">
        <v>17</v>
      </c>
      <c r="S11" s="770">
        <f t="shared" si="0"/>
        <v>100</v>
      </c>
      <c r="T11" s="769" t="s">
        <v>17</v>
      </c>
      <c r="U11" s="770">
        <f t="shared" si="1"/>
        <v>100</v>
      </c>
      <c r="V11" s="769" t="s">
        <v>17</v>
      </c>
      <c r="W11" s="770">
        <f t="shared" si="2"/>
        <v>100</v>
      </c>
      <c r="X11" s="771"/>
      <c r="Y11" s="3033"/>
      <c r="Z11" s="55" t="str">
        <f t="shared" si="7"/>
        <v>容积率</v>
      </c>
      <c r="AA11" s="772">
        <f t="shared" si="3"/>
        <v>1</v>
      </c>
      <c r="AB11" s="772">
        <f t="shared" si="4"/>
        <v>1</v>
      </c>
      <c r="AC11" s="2673">
        <f t="shared" si="5"/>
        <v>1</v>
      </c>
    </row>
    <row r="12" spans="1:29" s="117" customFormat="1" ht="15" hidden="1">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3"/>
      <c r="M12" s="1134"/>
      <c r="N12" s="1134"/>
      <c r="O12" s="1134"/>
      <c r="P12" s="3193"/>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73">
        <f>D12/J12</f>
        <v>1</v>
      </c>
    </row>
    <row r="13" spans="1:29" ht="15" hidden="1">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1"/>
      <c r="M13" s="1132"/>
      <c r="N13" s="1132"/>
      <c r="O13" s="1132"/>
      <c r="P13" s="3193"/>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73">
        <f t="shared" si="5"/>
        <v>1</v>
      </c>
    </row>
    <row r="14" spans="1:29" ht="15.75" thickBot="1">
      <c r="A14" s="435"/>
      <c r="B14" s="2980" t="s">
        <v>3214</v>
      </c>
      <c r="C14" s="2981" t="s">
        <v>3215</v>
      </c>
      <c r="D14" s="437">
        <v>100</v>
      </c>
      <c r="E14" s="2982" t="s">
        <v>3215</v>
      </c>
      <c r="F14" s="437">
        <f>SUMIF(75:75,E14,76:76)-SUMIF(75:75,C14,76:76)+100</f>
        <v>100</v>
      </c>
      <c r="G14" s="2983" t="s">
        <v>3216</v>
      </c>
      <c r="H14" s="437">
        <f>SUMIF(75:75,G14,76:76)-SUMIF(75:75,C14,76:76)+100</f>
        <v>97</v>
      </c>
      <c r="I14" s="2984" t="s">
        <v>3215</v>
      </c>
      <c r="J14" s="437">
        <f>SUMIF(75:75,I14,76:76)-SUMIF(75:75,C14,76:76)+100</f>
        <v>100</v>
      </c>
      <c r="K14" s="612"/>
      <c r="L14" s="1141"/>
      <c r="M14" s="1132"/>
      <c r="N14" s="1132"/>
      <c r="O14" s="1132"/>
      <c r="P14" s="3193"/>
      <c r="Q14" s="1795" t="str">
        <f t="shared" si="6"/>
        <v>交易方式</v>
      </c>
      <c r="R14" s="769" t="s">
        <v>17</v>
      </c>
      <c r="S14" s="770">
        <f t="shared" si="0"/>
        <v>100</v>
      </c>
      <c r="T14" s="769" t="s">
        <v>17</v>
      </c>
      <c r="U14" s="770">
        <f t="shared" si="1"/>
        <v>97</v>
      </c>
      <c r="V14" s="769" t="s">
        <v>17</v>
      </c>
      <c r="W14" s="770">
        <f t="shared" si="2"/>
        <v>100</v>
      </c>
      <c r="X14" s="771"/>
      <c r="Y14" s="3033"/>
      <c r="Z14" s="55" t="str">
        <f t="shared" si="7"/>
        <v>交易方式</v>
      </c>
      <c r="AA14" s="772">
        <f t="shared" si="3"/>
        <v>1</v>
      </c>
      <c r="AB14" s="772">
        <f t="shared" si="4"/>
        <v>1.0309278350515463</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98</v>
      </c>
      <c r="I15" s="441"/>
      <c r="J15" s="440">
        <f>SUMIF(77:77,I16,78:78)-SUMIF(77:77,C16,78:78)+100</f>
        <v>100</v>
      </c>
      <c r="K15" s="613">
        <v>2</v>
      </c>
      <c r="L15" s="1141"/>
      <c r="M15" s="1132"/>
      <c r="N15" s="1132"/>
      <c r="O15" s="1132"/>
      <c r="P15" s="3183" t="s">
        <v>2559</v>
      </c>
      <c r="Q15" s="1810" t="str">
        <f t="shared" si="6"/>
        <v>办公集聚程度</v>
      </c>
      <c r="R15" s="773" t="s">
        <v>17</v>
      </c>
      <c r="S15" s="774">
        <f t="shared" si="0"/>
        <v>100</v>
      </c>
      <c r="T15" s="773" t="s">
        <v>17</v>
      </c>
      <c r="U15" s="774">
        <f t="shared" si="1"/>
        <v>98</v>
      </c>
      <c r="V15" s="773" t="s">
        <v>17</v>
      </c>
      <c r="W15" s="774">
        <f t="shared" si="2"/>
        <v>100</v>
      </c>
      <c r="X15" s="1813"/>
      <c r="Y15" s="3185" t="s">
        <v>2559</v>
      </c>
      <c r="Z15" s="1814" t="str">
        <f t="shared" si="7"/>
        <v>办公集聚程度</v>
      </c>
      <c r="AA15" s="1811">
        <f t="shared" si="3"/>
        <v>1</v>
      </c>
      <c r="AB15" s="1811">
        <f t="shared" si="4"/>
        <v>1.0204081632653061</v>
      </c>
      <c r="AC15" s="2676">
        <f t="shared" si="5"/>
        <v>1</v>
      </c>
    </row>
    <row r="16" spans="1:29" ht="15">
      <c r="A16" s="427"/>
      <c r="B16" s="629"/>
      <c r="C16" s="2613" t="s">
        <v>3134</v>
      </c>
      <c r="D16" s="447"/>
      <c r="E16" s="446" t="s">
        <v>3134</v>
      </c>
      <c r="F16" s="447"/>
      <c r="G16" s="2613" t="s">
        <v>3135</v>
      </c>
      <c r="H16" s="449"/>
      <c r="I16" s="446" t="s">
        <v>3134</v>
      </c>
      <c r="J16" s="447"/>
      <c r="K16" s="614"/>
      <c r="L16" s="1141"/>
      <c r="M16" s="1132"/>
      <c r="N16" s="1132"/>
      <c r="O16" s="1132"/>
      <c r="P16" s="3184"/>
      <c r="Q16" s="1810"/>
      <c r="R16" s="773"/>
      <c r="S16" s="774"/>
      <c r="T16" s="773"/>
      <c r="U16" s="774"/>
      <c r="V16" s="773"/>
      <c r="W16" s="774"/>
      <c r="X16" s="1813"/>
      <c r="Y16" s="3186"/>
      <c r="Z16" s="1814"/>
      <c r="AA16" s="1811">
        <v>1</v>
      </c>
      <c r="AB16" s="1811">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98</v>
      </c>
      <c r="I17" s="451"/>
      <c r="J17" s="454">
        <f>SUMIF(79:79,I18,80:80)-SUMIF(79:79,C18,80:80)+100</f>
        <v>100</v>
      </c>
      <c r="K17" s="613">
        <v>2</v>
      </c>
      <c r="L17" s="1141"/>
      <c r="M17" s="1132"/>
      <c r="N17" s="1132"/>
      <c r="O17" s="1132"/>
      <c r="P17" s="3184"/>
      <c r="Q17" s="1810" t="str">
        <f>B17</f>
        <v>交通便捷度</v>
      </c>
      <c r="R17" s="773" t="s">
        <v>17</v>
      </c>
      <c r="S17" s="774">
        <f>F17</f>
        <v>100</v>
      </c>
      <c r="T17" s="773" t="s">
        <v>17</v>
      </c>
      <c r="U17" s="774">
        <f>H17</f>
        <v>98</v>
      </c>
      <c r="V17" s="773" t="s">
        <v>17</v>
      </c>
      <c r="W17" s="774">
        <f>J17</f>
        <v>100</v>
      </c>
      <c r="X17" s="1813"/>
      <c r="Y17" s="3186"/>
      <c r="Z17" s="1814" t="str">
        <f>Q17</f>
        <v>交通便捷度</v>
      </c>
      <c r="AA17" s="1811">
        <f t="shared" si="3"/>
        <v>1</v>
      </c>
      <c r="AB17" s="1811">
        <f t="shared" si="4"/>
        <v>1.0204081632653061</v>
      </c>
      <c r="AC17" s="2676">
        <f t="shared" si="5"/>
        <v>1</v>
      </c>
    </row>
    <row r="18" spans="1:29" ht="15">
      <c r="A18" s="427"/>
      <c r="B18" s="631"/>
      <c r="C18" s="2678" t="s">
        <v>3134</v>
      </c>
      <c r="D18" s="449"/>
      <c r="E18" s="2611" t="s">
        <v>3134</v>
      </c>
      <c r="F18" s="449"/>
      <c r="G18" s="2612" t="s">
        <v>3135</v>
      </c>
      <c r="H18" s="447"/>
      <c r="I18" s="2612" t="s">
        <v>3134</v>
      </c>
      <c r="J18" s="447"/>
      <c r="K18" s="614"/>
      <c r="L18" s="1141"/>
      <c r="M18" s="1132"/>
      <c r="N18" s="1132"/>
      <c r="O18" s="1132"/>
      <c r="P18" s="3184"/>
      <c r="Q18" s="1810"/>
      <c r="R18" s="773"/>
      <c r="S18" s="774"/>
      <c r="T18" s="773"/>
      <c r="U18" s="774"/>
      <c r="V18" s="773"/>
      <c r="W18" s="774"/>
      <c r="X18" s="1813"/>
      <c r="Y18" s="3186"/>
      <c r="Z18" s="1814"/>
      <c r="AA18" s="1811">
        <v>1</v>
      </c>
      <c r="AB18" s="1811">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1"/>
      <c r="M19" s="1132"/>
      <c r="N19" s="1132"/>
      <c r="O19" s="1132"/>
      <c r="P19" s="3184"/>
      <c r="Q19" s="1810" t="str">
        <f>B19</f>
        <v>公共配套设施</v>
      </c>
      <c r="R19" s="773" t="s">
        <v>17</v>
      </c>
      <c r="S19" s="774">
        <f>F19</f>
        <v>100</v>
      </c>
      <c r="T19" s="773" t="s">
        <v>17</v>
      </c>
      <c r="U19" s="774">
        <f>H19</f>
        <v>100</v>
      </c>
      <c r="V19" s="773" t="s">
        <v>17</v>
      </c>
      <c r="W19" s="774">
        <f>J19</f>
        <v>100</v>
      </c>
      <c r="X19" s="1813"/>
      <c r="Y19" s="3186"/>
      <c r="Z19" s="1814" t="str">
        <f>Q19</f>
        <v>公共配套设施</v>
      </c>
      <c r="AA19" s="1811">
        <f t="shared" si="3"/>
        <v>1</v>
      </c>
      <c r="AB19" s="1811">
        <f t="shared" si="4"/>
        <v>1</v>
      </c>
      <c r="AC19" s="2676">
        <f t="shared" si="5"/>
        <v>1</v>
      </c>
    </row>
    <row r="20" spans="1:29" ht="15">
      <c r="A20" s="427"/>
      <c r="B20" s="631"/>
      <c r="C20" s="2613" t="s">
        <v>3134</v>
      </c>
      <c r="D20" s="447"/>
      <c r="E20" s="2606" t="s">
        <v>3134</v>
      </c>
      <c r="F20" s="447"/>
      <c r="G20" s="2607" t="s">
        <v>3134</v>
      </c>
      <c r="H20" s="447"/>
      <c r="I20" s="2607" t="s">
        <v>3134</v>
      </c>
      <c r="J20" s="447"/>
      <c r="K20" s="614"/>
      <c r="L20" s="1141"/>
      <c r="M20" s="1132"/>
      <c r="N20" s="1132"/>
      <c r="O20" s="1132"/>
      <c r="P20" s="3184"/>
      <c r="Q20" s="1810"/>
      <c r="R20" s="773"/>
      <c r="S20" s="774"/>
      <c r="T20" s="773"/>
      <c r="U20" s="774"/>
      <c r="V20" s="773"/>
      <c r="W20" s="774"/>
      <c r="X20" s="1813"/>
      <c r="Y20" s="3186"/>
      <c r="Z20" s="1814"/>
      <c r="AA20" s="1811">
        <v>1</v>
      </c>
      <c r="AB20" s="1811">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1"/>
      <c r="M21" s="1132"/>
      <c r="N21" s="1132"/>
      <c r="O21" s="1132"/>
      <c r="P21" s="3184"/>
      <c r="Q21" s="1810" t="str">
        <f>B21</f>
        <v>基础设施水平</v>
      </c>
      <c r="R21" s="773" t="s">
        <v>17</v>
      </c>
      <c r="S21" s="774">
        <f>F21</f>
        <v>100</v>
      </c>
      <c r="T21" s="773" t="s">
        <v>17</v>
      </c>
      <c r="U21" s="774">
        <f>H21</f>
        <v>100</v>
      </c>
      <c r="V21" s="773" t="s">
        <v>17</v>
      </c>
      <c r="W21" s="774">
        <f>J21</f>
        <v>100</v>
      </c>
      <c r="X21" s="1813"/>
      <c r="Y21" s="3186"/>
      <c r="Z21" s="1814" t="str">
        <f>Q21</f>
        <v>基础设施水平</v>
      </c>
      <c r="AA21" s="1811">
        <f t="shared" ref="AA21" si="8">D21/F21</f>
        <v>1</v>
      </c>
      <c r="AB21" s="1811">
        <f t="shared" ref="AB21" si="9">D21/H21</f>
        <v>1</v>
      </c>
      <c r="AC21" s="2676">
        <f t="shared" ref="AC21" si="10">D21/J21</f>
        <v>1</v>
      </c>
    </row>
    <row r="22" spans="1:29" ht="15">
      <c r="A22" s="427"/>
      <c r="B22" s="632"/>
      <c r="C22" s="2678" t="s">
        <v>3138</v>
      </c>
      <c r="D22" s="447"/>
      <c r="E22" s="446" t="s">
        <v>3138</v>
      </c>
      <c r="F22" s="447"/>
      <c r="G22" s="2613" t="s">
        <v>3138</v>
      </c>
      <c r="H22" s="447"/>
      <c r="I22" s="2613" t="s">
        <v>3138</v>
      </c>
      <c r="J22" s="447"/>
      <c r="K22" s="1384"/>
      <c r="L22" s="1141"/>
      <c r="M22" s="1132"/>
      <c r="N22" s="1132"/>
      <c r="O22" s="1132"/>
      <c r="P22" s="3184"/>
      <c r="Q22" s="1810"/>
      <c r="R22" s="773"/>
      <c r="S22" s="774"/>
      <c r="T22" s="773"/>
      <c r="U22" s="774"/>
      <c r="V22" s="773"/>
      <c r="W22" s="774"/>
      <c r="X22" s="1813"/>
      <c r="Y22" s="3186"/>
      <c r="Z22" s="1814"/>
      <c r="AA22" s="1811">
        <v>1</v>
      </c>
      <c r="AB22" s="1811">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98</v>
      </c>
      <c r="I23" s="451"/>
      <c r="J23" s="449">
        <f>SUMIF(85:85,I24,86:86)-SUMIF(85:85,C24,86:86)+100</f>
        <v>100</v>
      </c>
      <c r="K23" s="613">
        <v>2</v>
      </c>
      <c r="L23" s="1141"/>
      <c r="M23" s="1132"/>
      <c r="N23" s="1132"/>
      <c r="O23" s="1132"/>
      <c r="P23" s="3184"/>
      <c r="Q23" s="1810" t="str">
        <f>B23</f>
        <v>环境质量</v>
      </c>
      <c r="R23" s="773" t="s">
        <v>17</v>
      </c>
      <c r="S23" s="774">
        <f>F23</f>
        <v>100</v>
      </c>
      <c r="T23" s="773" t="s">
        <v>17</v>
      </c>
      <c r="U23" s="774">
        <f>H23</f>
        <v>98</v>
      </c>
      <c r="V23" s="773" t="s">
        <v>17</v>
      </c>
      <c r="W23" s="774">
        <f>J23</f>
        <v>100</v>
      </c>
      <c r="X23" s="1813"/>
      <c r="Y23" s="3186"/>
      <c r="Z23" s="1814" t="str">
        <f>Q23</f>
        <v>环境质量</v>
      </c>
      <c r="AA23" s="1811">
        <f t="shared" si="3"/>
        <v>1</v>
      </c>
      <c r="AB23" s="1811">
        <f t="shared" si="4"/>
        <v>1.0204081632653061</v>
      </c>
      <c r="AC23" s="2676">
        <f t="shared" si="5"/>
        <v>1</v>
      </c>
    </row>
    <row r="24" spans="1:29" ht="15">
      <c r="A24" s="427"/>
      <c r="B24" s="632"/>
      <c r="C24" s="2613" t="s">
        <v>3134</v>
      </c>
      <c r="D24" s="447"/>
      <c r="E24" s="2606" t="s">
        <v>3134</v>
      </c>
      <c r="F24" s="447"/>
      <c r="G24" s="2607" t="s">
        <v>3135</v>
      </c>
      <c r="H24" s="447"/>
      <c r="I24" s="2607" t="s">
        <v>3134</v>
      </c>
      <c r="J24" s="447"/>
      <c r="K24" s="614"/>
      <c r="L24" s="1141"/>
      <c r="M24" s="1132"/>
      <c r="N24" s="1132"/>
      <c r="O24" s="1132"/>
      <c r="P24" s="3184"/>
      <c r="Q24" s="1810"/>
      <c r="R24" s="773"/>
      <c r="S24" s="774"/>
      <c r="T24" s="773"/>
      <c r="U24" s="774"/>
      <c r="V24" s="773"/>
      <c r="W24" s="774"/>
      <c r="X24" s="1813"/>
      <c r="Y24" s="3186"/>
      <c r="Z24" s="1814"/>
      <c r="AA24" s="1811">
        <v>1</v>
      </c>
      <c r="AB24" s="1811">
        <v>1</v>
      </c>
      <c r="AC24" s="2676">
        <v>1</v>
      </c>
    </row>
    <row r="25" spans="1:29" ht="27">
      <c r="A25" s="403"/>
      <c r="B25" s="630" t="s">
        <v>2690</v>
      </c>
      <c r="C25" s="2967" t="s">
        <v>3139</v>
      </c>
      <c r="D25" s="434">
        <v>100</v>
      </c>
      <c r="E25" s="2969" t="s">
        <v>3148</v>
      </c>
      <c r="F25" s="434">
        <f>SUMIF(87:87,E26,88:88)-SUMIF(87:87,C26,88:88)+100</f>
        <v>98</v>
      </c>
      <c r="G25" s="2967" t="s">
        <v>3149</v>
      </c>
      <c r="H25" s="434">
        <f>SUMIF(87:87,G26,88:88)-SUMIF(87:87,C26,88:88)+100</f>
        <v>96</v>
      </c>
      <c r="I25" s="2969" t="s">
        <v>3150</v>
      </c>
      <c r="J25" s="434">
        <f>SUMIF(87:87,I26,88:88)-SUMIF(87:87,C26,88:88)+100</f>
        <v>98</v>
      </c>
      <c r="K25" s="613">
        <v>2</v>
      </c>
      <c r="L25" s="1141"/>
      <c r="M25" s="1132"/>
      <c r="N25" s="1132"/>
      <c r="O25" s="1132"/>
      <c r="P25" s="3184"/>
      <c r="Q25" s="1810" t="str">
        <f>B25</f>
        <v>毗邻道路的类型与等级</v>
      </c>
      <c r="R25" s="773" t="s">
        <v>17</v>
      </c>
      <c r="S25" s="774">
        <f>F25</f>
        <v>98</v>
      </c>
      <c r="T25" s="773" t="s">
        <v>17</v>
      </c>
      <c r="U25" s="774">
        <f>H25</f>
        <v>96</v>
      </c>
      <c r="V25" s="773" t="s">
        <v>17</v>
      </c>
      <c r="W25" s="774">
        <f>J25</f>
        <v>98</v>
      </c>
      <c r="X25" s="1813"/>
      <c r="Y25" s="3186"/>
      <c r="Z25" s="1814" t="str">
        <f>Q25</f>
        <v>毗邻道路的类型与等级</v>
      </c>
      <c r="AA25" s="1811">
        <f t="shared" si="3"/>
        <v>1.0204081632653061</v>
      </c>
      <c r="AB25" s="1811">
        <f t="shared" si="4"/>
        <v>1.0416666666666667</v>
      </c>
      <c r="AC25" s="2676">
        <f t="shared" si="5"/>
        <v>1.0204081632653061</v>
      </c>
    </row>
    <row r="26" spans="1:29" ht="15.75" thickBot="1">
      <c r="A26" s="403"/>
      <c r="B26" s="631"/>
      <c r="C26" s="633" t="s">
        <v>3141</v>
      </c>
      <c r="D26" s="434"/>
      <c r="E26" s="615" t="s">
        <v>3143</v>
      </c>
      <c r="F26" s="434"/>
      <c r="G26" s="633" t="s">
        <v>3145</v>
      </c>
      <c r="H26" s="434"/>
      <c r="I26" s="615" t="s">
        <v>3143</v>
      </c>
      <c r="J26" s="434"/>
      <c r="K26" s="614"/>
      <c r="L26" s="1141"/>
      <c r="M26" s="1132"/>
      <c r="N26" s="1132"/>
      <c r="O26" s="1132"/>
      <c r="P26" s="3184"/>
      <c r="Q26" s="1810"/>
      <c r="R26" s="773"/>
      <c r="S26" s="774"/>
      <c r="T26" s="773"/>
      <c r="U26" s="774"/>
      <c r="V26" s="773"/>
      <c r="W26" s="774"/>
      <c r="X26" s="1813"/>
      <c r="Y26" s="3186"/>
      <c r="Z26" s="1814"/>
      <c r="AA26" s="1811">
        <v>1</v>
      </c>
      <c r="AB26" s="1811">
        <v>1</v>
      </c>
      <c r="AC26" s="2676">
        <v>1</v>
      </c>
    </row>
    <row r="27" spans="1:29" ht="15" hidden="1">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84"/>
      <c r="Q27" s="1810" t="str">
        <f t="shared" ref="Q27:Q47" si="11">B27</f>
        <v>楼层</v>
      </c>
      <c r="R27" s="773" t="s">
        <v>17</v>
      </c>
      <c r="S27" s="774">
        <f>F27</f>
        <v>100</v>
      </c>
      <c r="T27" s="773" t="s">
        <v>17</v>
      </c>
      <c r="U27" s="774">
        <f>H27</f>
        <v>100</v>
      </c>
      <c r="V27" s="773" t="s">
        <v>17</v>
      </c>
      <c r="W27" s="774">
        <f>J27</f>
        <v>100</v>
      </c>
      <c r="X27" s="1813"/>
      <c r="Y27" s="3186"/>
      <c r="Z27" s="1814" t="str">
        <f>Q27</f>
        <v>楼层</v>
      </c>
      <c r="AA27" s="1811">
        <f t="shared" si="3"/>
        <v>1</v>
      </c>
      <c r="AB27" s="1811">
        <f t="shared" si="4"/>
        <v>1</v>
      </c>
      <c r="AC27" s="2676">
        <f t="shared" si="5"/>
        <v>1</v>
      </c>
    </row>
    <row r="28" spans="1:29" s="117" customFormat="1" ht="15" hidden="1">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184"/>
      <c r="Q28" s="1795" t="str">
        <f t="shared" si="11"/>
        <v>朝向</v>
      </c>
      <c r="R28" s="769" t="s">
        <v>17</v>
      </c>
      <c r="S28" s="770">
        <f>F28</f>
        <v>100</v>
      </c>
      <c r="T28" s="769" t="s">
        <v>17</v>
      </c>
      <c r="U28" s="770">
        <f>H28</f>
        <v>100</v>
      </c>
      <c r="V28" s="769" t="s">
        <v>17</v>
      </c>
      <c r="W28" s="770">
        <f>J28</f>
        <v>100</v>
      </c>
      <c r="X28" s="771"/>
      <c r="Y28" s="3186"/>
      <c r="Z28" s="55" t="str">
        <f>Q28</f>
        <v>朝向</v>
      </c>
      <c r="AA28" s="1811">
        <f>D28/F28</f>
        <v>1</v>
      </c>
      <c r="AB28" s="1811">
        <f>D28/H28</f>
        <v>1</v>
      </c>
      <c r="AC28" s="2676">
        <f>D28/J28</f>
        <v>1</v>
      </c>
    </row>
    <row r="29" spans="1:29" ht="15" hidden="1">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184"/>
      <c r="Q29" s="1810">
        <f t="shared" si="11"/>
        <v>111</v>
      </c>
      <c r="R29" s="773" t="s">
        <v>17</v>
      </c>
      <c r="S29" s="774">
        <f t="shared" ref="S29:S47" si="12">F29</f>
        <v>100</v>
      </c>
      <c r="T29" s="773" t="s">
        <v>17</v>
      </c>
      <c r="U29" s="774">
        <f t="shared" ref="U29:U47" si="13">H29</f>
        <v>100</v>
      </c>
      <c r="V29" s="773" t="s">
        <v>17</v>
      </c>
      <c r="W29" s="774">
        <f t="shared" ref="W29:W47" si="14">J29</f>
        <v>100</v>
      </c>
      <c r="X29" s="1813"/>
      <c r="Y29" s="3186"/>
      <c r="Z29" s="1814">
        <f t="shared" ref="Z29:Z47" si="15">Q29</f>
        <v>111</v>
      </c>
      <c r="AA29" s="1811">
        <f t="shared" si="3"/>
        <v>1</v>
      </c>
      <c r="AB29" s="1811">
        <f t="shared" si="4"/>
        <v>1</v>
      </c>
      <c r="AC29" s="2676">
        <f t="shared" si="5"/>
        <v>1</v>
      </c>
    </row>
    <row r="30" spans="1:29" ht="15" hidden="1">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184"/>
      <c r="Q30" s="1810">
        <f t="shared" si="11"/>
        <v>111</v>
      </c>
      <c r="R30" s="773" t="s">
        <v>17</v>
      </c>
      <c r="S30" s="774">
        <f t="shared" si="12"/>
        <v>100</v>
      </c>
      <c r="T30" s="773" t="s">
        <v>17</v>
      </c>
      <c r="U30" s="774">
        <f t="shared" si="13"/>
        <v>100</v>
      </c>
      <c r="V30" s="773" t="s">
        <v>17</v>
      </c>
      <c r="W30" s="774">
        <f t="shared" si="14"/>
        <v>100</v>
      </c>
      <c r="X30" s="1813"/>
      <c r="Y30" s="3186"/>
      <c r="Z30" s="1814">
        <f t="shared" si="15"/>
        <v>111</v>
      </c>
      <c r="AA30" s="1811">
        <f t="shared" si="3"/>
        <v>1</v>
      </c>
      <c r="AB30" s="1811">
        <f t="shared" si="4"/>
        <v>1</v>
      </c>
      <c r="AC30" s="2676">
        <f t="shared" si="5"/>
        <v>1</v>
      </c>
    </row>
    <row r="31" spans="1:29" ht="15" hidden="1">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184"/>
      <c r="Q31" s="1810">
        <f t="shared" si="11"/>
        <v>111</v>
      </c>
      <c r="R31" s="773" t="s">
        <v>17</v>
      </c>
      <c r="S31" s="774">
        <f t="shared" si="12"/>
        <v>100</v>
      </c>
      <c r="T31" s="773" t="s">
        <v>17</v>
      </c>
      <c r="U31" s="774">
        <f t="shared" si="13"/>
        <v>100</v>
      </c>
      <c r="V31" s="773" t="s">
        <v>17</v>
      </c>
      <c r="W31" s="774">
        <f t="shared" si="14"/>
        <v>100</v>
      </c>
      <c r="X31" s="1813"/>
      <c r="Y31" s="3186"/>
      <c r="Z31" s="1814">
        <f t="shared" si="15"/>
        <v>111</v>
      </c>
      <c r="AA31" s="1811">
        <f t="shared" si="3"/>
        <v>1</v>
      </c>
      <c r="AB31" s="1811">
        <f t="shared" si="4"/>
        <v>1</v>
      </c>
      <c r="AC31" s="2676">
        <f t="shared" si="5"/>
        <v>1</v>
      </c>
    </row>
    <row r="32" spans="1:29" ht="15.75" hidden="1"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184"/>
      <c r="Q32" s="1810">
        <f t="shared" si="11"/>
        <v>111</v>
      </c>
      <c r="R32" s="773" t="s">
        <v>17</v>
      </c>
      <c r="S32" s="774">
        <f t="shared" si="12"/>
        <v>100</v>
      </c>
      <c r="T32" s="773" t="s">
        <v>17</v>
      </c>
      <c r="U32" s="774">
        <f t="shared" si="13"/>
        <v>100</v>
      </c>
      <c r="V32" s="773" t="s">
        <v>17</v>
      </c>
      <c r="W32" s="774">
        <f t="shared" si="14"/>
        <v>100</v>
      </c>
      <c r="X32" s="1813"/>
      <c r="Y32" s="3186"/>
      <c r="Z32" s="1814">
        <f t="shared" si="15"/>
        <v>111</v>
      </c>
      <c r="AA32" s="1811">
        <f t="shared" si="3"/>
        <v>1</v>
      </c>
      <c r="AB32" s="1811">
        <f t="shared" si="4"/>
        <v>1</v>
      </c>
      <c r="AC32" s="2676">
        <f t="shared" si="5"/>
        <v>1</v>
      </c>
    </row>
    <row r="33" spans="1:29" ht="15">
      <c r="A33" s="439" t="s">
        <v>2562</v>
      </c>
      <c r="B33" s="71" t="s">
        <v>2692</v>
      </c>
      <c r="C33" s="2681" t="s">
        <v>3185</v>
      </c>
      <c r="D33" s="466">
        <v>100</v>
      </c>
      <c r="E33" s="2681" t="s">
        <v>3185</v>
      </c>
      <c r="F33" s="460">
        <f>SUMIF(101:101,E33,102:102)-SUMIF(101:101,C33,102:102)+100</f>
        <v>100</v>
      </c>
      <c r="G33" s="2681" t="s">
        <v>3164</v>
      </c>
      <c r="H33" s="434">
        <f>SUMIF(101:101,G33,102:102)-SUMIF(101:101,C33,102:102)+100</f>
        <v>105</v>
      </c>
      <c r="I33" s="2681" t="s">
        <v>3185</v>
      </c>
      <c r="J33" s="466">
        <f>SUMIF(101:101,I33,102:102)-SUMIF(101:101,C33,102:102)+100</f>
        <v>100</v>
      </c>
      <c r="K33" s="611">
        <v>5</v>
      </c>
      <c r="L33" s="1141"/>
      <c r="M33" s="1132"/>
      <c r="N33" s="1132"/>
      <c r="O33" s="1132"/>
      <c r="P33" s="3187" t="s">
        <v>2564</v>
      </c>
      <c r="Q33" s="1810" t="str">
        <f t="shared" si="11"/>
        <v>建筑类型</v>
      </c>
      <c r="R33" s="773" t="s">
        <v>17</v>
      </c>
      <c r="S33" s="774">
        <f t="shared" si="12"/>
        <v>100</v>
      </c>
      <c r="T33" s="773" t="s">
        <v>17</v>
      </c>
      <c r="U33" s="774">
        <f t="shared" si="13"/>
        <v>105</v>
      </c>
      <c r="V33" s="773" t="s">
        <v>17</v>
      </c>
      <c r="W33" s="774">
        <f t="shared" si="14"/>
        <v>100</v>
      </c>
      <c r="X33" s="1813"/>
      <c r="Y33" s="3190" t="s">
        <v>2564</v>
      </c>
      <c r="Z33" s="1814" t="str">
        <f t="shared" si="15"/>
        <v>建筑类型</v>
      </c>
      <c r="AA33" s="1811">
        <f t="shared" si="3"/>
        <v>1</v>
      </c>
      <c r="AB33" s="1811">
        <f t="shared" si="4"/>
        <v>0.95238095238095233</v>
      </c>
      <c r="AC33" s="2676">
        <f t="shared" si="5"/>
        <v>1</v>
      </c>
    </row>
    <row r="34" spans="1:29" s="470" customFormat="1" ht="15">
      <c r="A34" s="467"/>
      <c r="B34" s="421" t="s">
        <v>2565</v>
      </c>
      <c r="C34" s="468">
        <f>项目基本情况!C17</f>
        <v>166180.56000000003</v>
      </c>
      <c r="D34" s="136">
        <v>100</v>
      </c>
      <c r="E34" s="429">
        <f>案例!H3</f>
        <v>10474.4</v>
      </c>
      <c r="F34" s="424">
        <f>LOOKUP(E34,104:104,105:105)-LOOKUP(C34,104:104,105:105)+100</f>
        <v>106</v>
      </c>
      <c r="G34" s="428">
        <f>案例!H4</f>
        <v>34993.54</v>
      </c>
      <c r="H34" s="136">
        <f>LOOKUP(G34,104:104,105:105)-LOOKUP(C34,104:104,105:105)+100</f>
        <v>106</v>
      </c>
      <c r="I34" s="428">
        <f>案例!H5</f>
        <v>48701.64</v>
      </c>
      <c r="J34" s="136">
        <f>LOOKUP(I34,104:104,105:105)-LOOKUP(C34,104:104,105:105)+100</f>
        <v>106</v>
      </c>
      <c r="K34" s="612"/>
      <c r="L34" s="1139"/>
      <c r="M34" s="1142"/>
      <c r="N34" s="1142"/>
      <c r="O34" s="1142"/>
      <c r="P34" s="3188"/>
      <c r="Q34" s="775" t="str">
        <f t="shared" si="11"/>
        <v>项目建筑规模</v>
      </c>
      <c r="R34" s="776" t="s">
        <v>17</v>
      </c>
      <c r="S34" s="777">
        <f t="shared" si="12"/>
        <v>106</v>
      </c>
      <c r="T34" s="776" t="s">
        <v>17</v>
      </c>
      <c r="U34" s="777">
        <f t="shared" si="13"/>
        <v>106</v>
      </c>
      <c r="V34" s="776" t="s">
        <v>17</v>
      </c>
      <c r="W34" s="777">
        <f t="shared" si="14"/>
        <v>106</v>
      </c>
      <c r="X34" s="778"/>
      <c r="Y34" s="3190"/>
      <c r="Z34" s="779" t="str">
        <f t="shared" si="15"/>
        <v>项目建筑规模</v>
      </c>
      <c r="AA34" s="1811">
        <f t="shared" si="3"/>
        <v>0.94339622641509435</v>
      </c>
      <c r="AB34" s="1811">
        <f t="shared" si="4"/>
        <v>0.94339622641509435</v>
      </c>
      <c r="AC34" s="2676">
        <f t="shared" si="5"/>
        <v>0.94339622641509435</v>
      </c>
    </row>
    <row r="35" spans="1:29" ht="15">
      <c r="A35" s="471"/>
      <c r="B35" s="421" t="s">
        <v>2566</v>
      </c>
      <c r="C35" s="459" t="s">
        <v>3090</v>
      </c>
      <c r="D35" s="434">
        <v>100</v>
      </c>
      <c r="E35" s="459" t="s">
        <v>3090</v>
      </c>
      <c r="F35" s="460">
        <f>SUMIF(106:106,E35,107:107)-SUMIF(106:106,C35,107:107)+100</f>
        <v>100</v>
      </c>
      <c r="G35" s="459" t="s">
        <v>3090</v>
      </c>
      <c r="H35" s="434">
        <f>SUMIF(106:106,G35,107:107)-SUMIF(106:106,C35,107:107)+100</f>
        <v>100</v>
      </c>
      <c r="I35" s="459" t="s">
        <v>3090</v>
      </c>
      <c r="J35" s="434">
        <f>SUMIF(106:106,I35,107:107)-SUMIF(106:106,C35,107:107)+100</f>
        <v>100</v>
      </c>
      <c r="K35" s="611">
        <v>2</v>
      </c>
      <c r="L35" s="1141"/>
      <c r="M35" s="1132"/>
      <c r="N35" s="1132"/>
      <c r="O35" s="1132"/>
      <c r="P35" s="3188"/>
      <c r="Q35" s="1810" t="str">
        <f t="shared" si="11"/>
        <v>建筑结构</v>
      </c>
      <c r="R35" s="773" t="s">
        <v>17</v>
      </c>
      <c r="S35" s="774">
        <f t="shared" si="12"/>
        <v>100</v>
      </c>
      <c r="T35" s="773" t="s">
        <v>17</v>
      </c>
      <c r="U35" s="774">
        <f t="shared" si="13"/>
        <v>100</v>
      </c>
      <c r="V35" s="773" t="s">
        <v>17</v>
      </c>
      <c r="W35" s="774">
        <f t="shared" si="14"/>
        <v>100</v>
      </c>
      <c r="X35" s="1813"/>
      <c r="Y35" s="3190"/>
      <c r="Z35" s="1814" t="str">
        <f t="shared" si="15"/>
        <v>建筑结构</v>
      </c>
      <c r="AA35" s="1811">
        <f t="shared" si="3"/>
        <v>1</v>
      </c>
      <c r="AB35" s="1811">
        <f t="shared" si="4"/>
        <v>1</v>
      </c>
      <c r="AC35" s="2676">
        <f t="shared" si="5"/>
        <v>1</v>
      </c>
    </row>
    <row r="36" spans="1:29" ht="15">
      <c r="A36" s="471"/>
      <c r="B36" s="421" t="s">
        <v>2660</v>
      </c>
      <c r="C36" s="459" t="s">
        <v>3134</v>
      </c>
      <c r="D36" s="434">
        <v>100</v>
      </c>
      <c r="E36" s="459" t="s">
        <v>3134</v>
      </c>
      <c r="F36" s="460">
        <f>SUMIF(108:108,E36,109:109)-SUMIF(108:108,C36,109:109)+100</f>
        <v>100</v>
      </c>
      <c r="G36" s="459" t="s">
        <v>3134</v>
      </c>
      <c r="H36" s="434">
        <f>SUMIF(108:108,G36,109:109)-SUMIF(108:108,C36,109:109)+100</f>
        <v>100</v>
      </c>
      <c r="I36" s="459" t="s">
        <v>3134</v>
      </c>
      <c r="J36" s="434">
        <f>SUMIF(108:108,I36,109:109)-SUMIF(108:108,C36,109:109)+100</f>
        <v>100</v>
      </c>
      <c r="K36" s="611">
        <v>2</v>
      </c>
      <c r="L36" s="1141"/>
      <c r="M36" s="1132"/>
      <c r="N36" s="1132"/>
      <c r="O36" s="1132"/>
      <c r="P36" s="3188"/>
      <c r="Q36" s="1810" t="str">
        <f t="shared" si="11"/>
        <v>公共部分装修</v>
      </c>
      <c r="R36" s="773" t="s">
        <v>17</v>
      </c>
      <c r="S36" s="774">
        <f t="shared" si="12"/>
        <v>100</v>
      </c>
      <c r="T36" s="773" t="s">
        <v>17</v>
      </c>
      <c r="U36" s="774">
        <f t="shared" si="13"/>
        <v>100</v>
      </c>
      <c r="V36" s="773" t="s">
        <v>17</v>
      </c>
      <c r="W36" s="774">
        <f t="shared" si="14"/>
        <v>100</v>
      </c>
      <c r="X36" s="1813"/>
      <c r="Y36" s="3190"/>
      <c r="Z36" s="1814" t="str">
        <f t="shared" si="15"/>
        <v>公共部分装修</v>
      </c>
      <c r="AA36" s="1811">
        <f t="shared" si="3"/>
        <v>1</v>
      </c>
      <c r="AB36" s="1811">
        <f t="shared" si="4"/>
        <v>1</v>
      </c>
      <c r="AC36" s="2676">
        <f t="shared" si="5"/>
        <v>1</v>
      </c>
    </row>
    <row r="37" spans="1:29" ht="15">
      <c r="A37" s="471"/>
      <c r="B37" s="421" t="s">
        <v>2661</v>
      </c>
      <c r="C37" s="473">
        <f>'数据-取费表'!N6</f>
        <v>0.85</v>
      </c>
      <c r="D37" s="434">
        <v>100</v>
      </c>
      <c r="E37" s="473">
        <v>0.85</v>
      </c>
      <c r="F37" s="460">
        <f>LOOKUP(E37,111:111,112:112)-LOOKUP(C37,111:111,112:112)+100</f>
        <v>100</v>
      </c>
      <c r="G37" s="473">
        <f>ROUND(1-(2018-2017)/60,2)</f>
        <v>0.98</v>
      </c>
      <c r="H37" s="460">
        <f>LOOKUP(G37,111:111,112:112)-LOOKUP(C37,111:111,112:112)+100</f>
        <v>102</v>
      </c>
      <c r="I37" s="473">
        <f>ROUND(1-(2018-1998)/60,2)</f>
        <v>0.67</v>
      </c>
      <c r="J37" s="434">
        <f>LOOKUP(I37,111:111,112:112)-LOOKUP(C37,111:111,112:112)+100</f>
        <v>96</v>
      </c>
      <c r="K37" s="611">
        <v>2</v>
      </c>
      <c r="L37" s="1141"/>
      <c r="M37" s="1132"/>
      <c r="N37" s="1132"/>
      <c r="O37" s="1132"/>
      <c r="P37" s="3188"/>
      <c r="Q37" s="1810" t="str">
        <f t="shared" si="11"/>
        <v>成新度</v>
      </c>
      <c r="R37" s="773" t="s">
        <v>17</v>
      </c>
      <c r="S37" s="774">
        <f t="shared" si="12"/>
        <v>100</v>
      </c>
      <c r="T37" s="773" t="s">
        <v>17</v>
      </c>
      <c r="U37" s="774">
        <f t="shared" si="13"/>
        <v>102</v>
      </c>
      <c r="V37" s="773" t="s">
        <v>17</v>
      </c>
      <c r="W37" s="774">
        <f t="shared" si="14"/>
        <v>96</v>
      </c>
      <c r="X37" s="1813"/>
      <c r="Y37" s="3190"/>
      <c r="Z37" s="1814" t="str">
        <f t="shared" si="15"/>
        <v>成新度</v>
      </c>
      <c r="AA37" s="1811">
        <f t="shared" si="3"/>
        <v>1</v>
      </c>
      <c r="AB37" s="1811">
        <f t="shared" si="4"/>
        <v>0.98039215686274506</v>
      </c>
      <c r="AC37" s="2676">
        <f t="shared" si="5"/>
        <v>1.0416666666666667</v>
      </c>
    </row>
    <row r="38" spans="1:29" s="117" customFormat="1" ht="15">
      <c r="A38" s="472"/>
      <c r="B38" s="421" t="s">
        <v>2693</v>
      </c>
      <c r="C38" s="459" t="s">
        <v>3187</v>
      </c>
      <c r="D38" s="136">
        <v>100</v>
      </c>
      <c r="E38" s="459" t="s">
        <v>3191</v>
      </c>
      <c r="F38" s="460">
        <f>SUMIF(113:113,E38,114:114)-SUMIF(113:113,C38,114:114)+100</f>
        <v>90</v>
      </c>
      <c r="G38" s="459" t="s">
        <v>3187</v>
      </c>
      <c r="H38" s="434">
        <f>SUMIF(113:113,G38,114:114)-SUMIF(113:113,C38,114:114)+100</f>
        <v>100</v>
      </c>
      <c r="I38" s="459" t="s">
        <v>3189</v>
      </c>
      <c r="J38" s="434">
        <f>SUMIF(113:113,I38,114:114)-SUMIF(113:113,C38,114:114)+100</f>
        <v>95</v>
      </c>
      <c r="K38" s="611">
        <v>5</v>
      </c>
      <c r="L38" s="1133"/>
      <c r="M38" s="1134"/>
      <c r="N38" s="1134"/>
      <c r="O38" s="1134"/>
      <c r="P38" s="3188"/>
      <c r="Q38" s="1795" t="str">
        <f t="shared" si="11"/>
        <v>写字楼等级</v>
      </c>
      <c r="R38" s="769" t="s">
        <v>17</v>
      </c>
      <c r="S38" s="770">
        <f t="shared" si="12"/>
        <v>90</v>
      </c>
      <c r="T38" s="769" t="s">
        <v>17</v>
      </c>
      <c r="U38" s="770">
        <f t="shared" si="13"/>
        <v>100</v>
      </c>
      <c r="V38" s="769" t="s">
        <v>17</v>
      </c>
      <c r="W38" s="770">
        <f t="shared" si="14"/>
        <v>95</v>
      </c>
      <c r="X38" s="771"/>
      <c r="Y38" s="3190"/>
      <c r="Z38" s="55" t="str">
        <f t="shared" si="15"/>
        <v>写字楼等级</v>
      </c>
      <c r="AA38" s="772">
        <f t="shared" si="3"/>
        <v>1.1111111111111112</v>
      </c>
      <c r="AB38" s="772">
        <f t="shared" si="4"/>
        <v>1</v>
      </c>
      <c r="AC38" s="2673">
        <f t="shared" si="5"/>
        <v>1.0526315789473684</v>
      </c>
    </row>
    <row r="39" spans="1:29" ht="15">
      <c r="A39" s="471"/>
      <c r="B39" s="421" t="s">
        <v>2694</v>
      </c>
      <c r="C39" s="459" t="s">
        <v>3160</v>
      </c>
      <c r="D39" s="434">
        <v>100</v>
      </c>
      <c r="E39" s="459" t="s">
        <v>3160</v>
      </c>
      <c r="F39" s="460">
        <f>SUMIF(115:115,E39,116:116)-SUMIF(115:115,C39,116:116)+100</f>
        <v>100</v>
      </c>
      <c r="G39" s="459" t="s">
        <v>3160</v>
      </c>
      <c r="H39" s="434">
        <f>SUMIF(115:115,G39,116:116)-SUMIF(115:115,C39,116:116)+100</f>
        <v>100</v>
      </c>
      <c r="I39" s="459" t="s">
        <v>3160</v>
      </c>
      <c r="J39" s="434">
        <f>SUMIF(115:115,I39,116:116)-SUMIF(115:115,C39,116:116)+100</f>
        <v>100</v>
      </c>
      <c r="K39" s="611">
        <v>2</v>
      </c>
      <c r="L39" s="1141"/>
      <c r="M39" s="1132"/>
      <c r="N39" s="1132"/>
      <c r="O39" s="1132"/>
      <c r="P39" s="3188" t="s">
        <v>2564</v>
      </c>
      <c r="Q39" s="1810" t="str">
        <f t="shared" si="11"/>
        <v>物业管理</v>
      </c>
      <c r="R39" s="773" t="s">
        <v>17</v>
      </c>
      <c r="S39" s="774">
        <f t="shared" si="12"/>
        <v>100</v>
      </c>
      <c r="T39" s="773" t="s">
        <v>17</v>
      </c>
      <c r="U39" s="774">
        <f t="shared" si="13"/>
        <v>100</v>
      </c>
      <c r="V39" s="773" t="s">
        <v>17</v>
      </c>
      <c r="W39" s="774">
        <f t="shared" si="14"/>
        <v>100</v>
      </c>
      <c r="X39" s="1813"/>
      <c r="Y39" s="3190" t="s">
        <v>2564</v>
      </c>
      <c r="Z39" s="1814" t="str">
        <f t="shared" si="15"/>
        <v>物业管理</v>
      </c>
      <c r="AA39" s="1811">
        <f t="shared" si="3"/>
        <v>1</v>
      </c>
      <c r="AB39" s="1811">
        <f t="shared" si="4"/>
        <v>1</v>
      </c>
      <c r="AC39" s="2676">
        <f t="shared" si="5"/>
        <v>1</v>
      </c>
    </row>
    <row r="40" spans="1:29" ht="15">
      <c r="A40" s="471"/>
      <c r="B40" s="421" t="s">
        <v>2662</v>
      </c>
      <c r="C40" s="459" t="s">
        <v>3156</v>
      </c>
      <c r="D40" s="434">
        <v>100</v>
      </c>
      <c r="E40" s="459" t="s">
        <v>3156</v>
      </c>
      <c r="F40" s="460">
        <f>SUMIF(117:117,E40,118:118)-SUMIF(117:117,C40,118:118)+100</f>
        <v>100</v>
      </c>
      <c r="G40" s="459" t="s">
        <v>3156</v>
      </c>
      <c r="H40" s="434">
        <f>SUMIF(117:117,G40,118:118)-SUMIF(117:117,C40,118:118)+100</f>
        <v>100</v>
      </c>
      <c r="I40" s="459" t="s">
        <v>3156</v>
      </c>
      <c r="J40" s="434">
        <f>SUMIF(117:117,I40,118:118)-SUMIF(117:117,C40,118:118)+100</f>
        <v>100</v>
      </c>
      <c r="K40" s="611">
        <v>1</v>
      </c>
      <c r="L40" s="1141"/>
      <c r="M40" s="1132"/>
      <c r="N40" s="1132"/>
      <c r="O40" s="1132"/>
      <c r="P40" s="3188"/>
      <c r="Q40" s="1810" t="str">
        <f t="shared" si="11"/>
        <v>市政基础设施</v>
      </c>
      <c r="R40" s="773" t="s">
        <v>17</v>
      </c>
      <c r="S40" s="774">
        <f t="shared" si="12"/>
        <v>100</v>
      </c>
      <c r="T40" s="773" t="s">
        <v>17</v>
      </c>
      <c r="U40" s="774">
        <f t="shared" si="13"/>
        <v>100</v>
      </c>
      <c r="V40" s="773" t="s">
        <v>17</v>
      </c>
      <c r="W40" s="774">
        <f t="shared" si="14"/>
        <v>100</v>
      </c>
      <c r="X40" s="1813"/>
      <c r="Y40" s="3190"/>
      <c r="Z40" s="1814" t="str">
        <f t="shared" si="15"/>
        <v>市政基础设施</v>
      </c>
      <c r="AA40" s="1811">
        <f t="shared" si="3"/>
        <v>1</v>
      </c>
      <c r="AB40" s="1811">
        <f t="shared" si="4"/>
        <v>1</v>
      </c>
      <c r="AC40" s="2676">
        <f t="shared" si="5"/>
        <v>1</v>
      </c>
    </row>
    <row r="41" spans="1:29" ht="15">
      <c r="A41" s="471"/>
      <c r="B41" s="421" t="s">
        <v>2664</v>
      </c>
      <c r="C41" s="615" t="s">
        <v>3153</v>
      </c>
      <c r="D41" s="434">
        <v>100</v>
      </c>
      <c r="E41" s="615" t="s">
        <v>3153</v>
      </c>
      <c r="F41" s="460">
        <f>SUMIF(119:119,E41,120:120)-SUMIF(119:119,C41,120:120)+100</f>
        <v>100</v>
      </c>
      <c r="G41" s="615" t="s">
        <v>3153</v>
      </c>
      <c r="H41" s="434">
        <f>SUMIF(119:119,G41,120:120)-SUMIF(119:119,C41,120:120)+100</f>
        <v>100</v>
      </c>
      <c r="I41" s="615" t="s">
        <v>3153</v>
      </c>
      <c r="J41" s="434">
        <f>SUMIF(119:119,I41,120:120)-SUMIF(119:119,C41,120:120)+100</f>
        <v>100</v>
      </c>
      <c r="K41" s="611">
        <v>2</v>
      </c>
      <c r="L41" s="1141"/>
      <c r="M41" s="1132"/>
      <c r="N41" s="1132"/>
      <c r="O41" s="1132"/>
      <c r="P41" s="3188"/>
      <c r="Q41" s="1810" t="str">
        <f t="shared" si="11"/>
        <v>层高</v>
      </c>
      <c r="R41" s="773" t="s">
        <v>17</v>
      </c>
      <c r="S41" s="774">
        <f t="shared" si="12"/>
        <v>100</v>
      </c>
      <c r="T41" s="773" t="s">
        <v>17</v>
      </c>
      <c r="U41" s="774">
        <f t="shared" si="13"/>
        <v>100</v>
      </c>
      <c r="V41" s="773" t="s">
        <v>17</v>
      </c>
      <c r="W41" s="774">
        <f t="shared" si="14"/>
        <v>100</v>
      </c>
      <c r="X41" s="1813"/>
      <c r="Y41" s="3190"/>
      <c r="Z41" s="1814" t="str">
        <f t="shared" si="15"/>
        <v>层高</v>
      </c>
      <c r="AA41" s="1811">
        <f t="shared" si="3"/>
        <v>1</v>
      </c>
      <c r="AB41" s="1811">
        <f t="shared" si="4"/>
        <v>1</v>
      </c>
      <c r="AC41" s="2676">
        <f t="shared" si="5"/>
        <v>1</v>
      </c>
    </row>
    <row r="42" spans="1:29" s="470" customFormat="1" ht="15" hidden="1">
      <c r="A42" s="467"/>
      <c r="B42" s="1812"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1">
        <f t="shared" si="3"/>
        <v>1</v>
      </c>
      <c r="AB42" s="1811">
        <f t="shared" si="4"/>
        <v>1</v>
      </c>
      <c r="AC42" s="2676">
        <f t="shared" si="5"/>
        <v>1</v>
      </c>
    </row>
    <row r="43" spans="1:29" ht="15">
      <c r="A43" s="471"/>
      <c r="B43" s="421" t="s">
        <v>2667</v>
      </c>
      <c r="C43" s="459" t="s">
        <v>3151</v>
      </c>
      <c r="D43" s="434">
        <v>100</v>
      </c>
      <c r="E43" s="459" t="s">
        <v>3151</v>
      </c>
      <c r="F43" s="460">
        <f>SUMIF(123:123,E43,124:124)-SUMIF(123:123,C43,124:124)+100</f>
        <v>100</v>
      </c>
      <c r="G43" s="459" t="s">
        <v>3151</v>
      </c>
      <c r="H43" s="434">
        <f>SUMIF(123:123,G43,124:124)-SUMIF(123:123,C43,124:124)+100</f>
        <v>100</v>
      </c>
      <c r="I43" s="459" t="s">
        <v>3151</v>
      </c>
      <c r="J43" s="434">
        <f>SUMIF(123:123,I43,124:124)-SUMIF(123:123,C43,124:124)+100</f>
        <v>100</v>
      </c>
      <c r="K43" s="611">
        <v>2</v>
      </c>
      <c r="L43" s="1141"/>
      <c r="M43" s="1132"/>
      <c r="N43" s="1132"/>
      <c r="O43" s="1132"/>
      <c r="P43" s="3188"/>
      <c r="Q43" s="1810" t="str">
        <f t="shared" si="11"/>
        <v>内部装修</v>
      </c>
      <c r="R43" s="773" t="s">
        <v>17</v>
      </c>
      <c r="S43" s="774">
        <f t="shared" si="12"/>
        <v>100</v>
      </c>
      <c r="T43" s="773" t="s">
        <v>17</v>
      </c>
      <c r="U43" s="774">
        <f t="shared" si="13"/>
        <v>100</v>
      </c>
      <c r="V43" s="773" t="s">
        <v>17</v>
      </c>
      <c r="W43" s="774">
        <f t="shared" si="14"/>
        <v>100</v>
      </c>
      <c r="X43" s="1813"/>
      <c r="Y43" s="3190"/>
      <c r="Z43" s="1814" t="str">
        <f t="shared" si="15"/>
        <v>内部装修</v>
      </c>
      <c r="AA43" s="1811">
        <f t="shared" si="3"/>
        <v>1</v>
      </c>
      <c r="AB43" s="1811">
        <f t="shared" si="4"/>
        <v>1</v>
      </c>
      <c r="AC43" s="2676">
        <f t="shared" si="5"/>
        <v>1</v>
      </c>
    </row>
    <row r="44" spans="1:29" ht="15.75" thickBot="1">
      <c r="A44" s="471"/>
      <c r="B44" s="421" t="s">
        <v>2575</v>
      </c>
      <c r="C44" s="459" t="s">
        <v>3135</v>
      </c>
      <c r="D44" s="434">
        <v>100</v>
      </c>
      <c r="E44" s="2615" t="s">
        <v>3135</v>
      </c>
      <c r="F44" s="460">
        <f>SUMIF(125:125,E44,126:126)-SUMIF(125:125,C44,126:126)+100</f>
        <v>100</v>
      </c>
      <c r="G44" s="2615" t="s">
        <v>3135</v>
      </c>
      <c r="H44" s="434">
        <f>SUMIF(125:125,G44,126:126)-SUMIF(125:125,C44,126:126)+100</f>
        <v>100</v>
      </c>
      <c r="I44" s="2615" t="s">
        <v>3135</v>
      </c>
      <c r="J44" s="434">
        <f>SUMIF(125:125,I44,126:126)-SUMIF(125:125,C44,126:126)+100</f>
        <v>100</v>
      </c>
      <c r="K44" s="611">
        <v>2</v>
      </c>
      <c r="L44" s="1141"/>
      <c r="M44" s="1132"/>
      <c r="N44" s="1132"/>
      <c r="O44" s="1132"/>
      <c r="P44" s="3188"/>
      <c r="Q44" s="1810" t="str">
        <f t="shared" si="11"/>
        <v>内部装修维护情况</v>
      </c>
      <c r="R44" s="773" t="s">
        <v>17</v>
      </c>
      <c r="S44" s="774">
        <f t="shared" si="12"/>
        <v>100</v>
      </c>
      <c r="T44" s="773" t="s">
        <v>17</v>
      </c>
      <c r="U44" s="774">
        <f t="shared" si="13"/>
        <v>100</v>
      </c>
      <c r="V44" s="773" t="s">
        <v>17</v>
      </c>
      <c r="W44" s="774">
        <f t="shared" si="14"/>
        <v>100</v>
      </c>
      <c r="X44" s="1813"/>
      <c r="Y44" s="3190"/>
      <c r="Z44" s="1814" t="str">
        <f t="shared" si="15"/>
        <v>内部装修维护情况</v>
      </c>
      <c r="AA44" s="1811">
        <f t="shared" si="3"/>
        <v>1</v>
      </c>
      <c r="AB44" s="1811">
        <f t="shared" si="4"/>
        <v>1</v>
      </c>
      <c r="AC44" s="2676">
        <f t="shared" si="5"/>
        <v>1</v>
      </c>
    </row>
    <row r="45" spans="1:29" s="117" customFormat="1" ht="15" hidden="1">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188"/>
      <c r="Q45" s="1795">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73">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88"/>
      <c r="Q46" s="1810">
        <f t="shared" si="11"/>
        <v>111</v>
      </c>
      <c r="R46" s="773" t="s">
        <v>17</v>
      </c>
      <c r="S46" s="774">
        <f t="shared" si="12"/>
        <v>100</v>
      </c>
      <c r="T46" s="773" t="s">
        <v>17</v>
      </c>
      <c r="U46" s="774">
        <f t="shared" si="13"/>
        <v>100</v>
      </c>
      <c r="V46" s="773" t="s">
        <v>17</v>
      </c>
      <c r="W46" s="774">
        <f t="shared" si="14"/>
        <v>100</v>
      </c>
      <c r="X46" s="1813"/>
      <c r="Y46" s="3190"/>
      <c r="Z46" s="1814">
        <f t="shared" si="15"/>
        <v>111</v>
      </c>
      <c r="AA46" s="1811">
        <f t="shared" si="3"/>
        <v>1</v>
      </c>
      <c r="AB46" s="1811">
        <f t="shared" si="4"/>
        <v>1</v>
      </c>
      <c r="AC46" s="2676">
        <f t="shared" si="5"/>
        <v>1</v>
      </c>
    </row>
    <row r="47" spans="1:29" ht="15.75" hidden="1"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89"/>
      <c r="Q47" s="1810">
        <f t="shared" si="11"/>
        <v>111</v>
      </c>
      <c r="R47" s="773" t="s">
        <v>17</v>
      </c>
      <c r="S47" s="774">
        <f t="shared" si="12"/>
        <v>100</v>
      </c>
      <c r="T47" s="773" t="s">
        <v>17</v>
      </c>
      <c r="U47" s="774">
        <f t="shared" si="13"/>
        <v>100</v>
      </c>
      <c r="V47" s="773" t="s">
        <v>17</v>
      </c>
      <c r="W47" s="774">
        <f t="shared" si="14"/>
        <v>100</v>
      </c>
      <c r="X47" s="1813"/>
      <c r="Y47" s="3191"/>
      <c r="Z47" s="1814">
        <f t="shared" si="15"/>
        <v>111</v>
      </c>
      <c r="AA47" s="1811">
        <f t="shared" si="3"/>
        <v>1</v>
      </c>
      <c r="AB47" s="1811">
        <f t="shared" si="4"/>
        <v>1</v>
      </c>
      <c r="AC47" s="2676">
        <f t="shared" si="5"/>
        <v>1</v>
      </c>
    </row>
    <row r="48" spans="1:29" ht="15">
      <c r="A48" s="478" t="s">
        <v>2576</v>
      </c>
      <c r="B48" s="479"/>
      <c r="C48" s="1408" t="s">
        <v>1</v>
      </c>
      <c r="D48" s="1409"/>
      <c r="E48" s="1410">
        <f>ROUND(案例!I3*10000,0)</f>
        <v>50886</v>
      </c>
      <c r="F48" s="1411"/>
      <c r="G48" s="1412">
        <f>ROUND(案例!I4*10000,0)</f>
        <v>51438</v>
      </c>
      <c r="H48" s="1413"/>
      <c r="I48" s="1410">
        <f>ROUND(案例!I5*10000,0)</f>
        <v>52483</v>
      </c>
      <c r="J48" s="484"/>
      <c r="K48" s="782"/>
      <c r="L48" s="1144"/>
      <c r="M48" s="1132"/>
      <c r="N48" s="1132"/>
      <c r="O48" s="1132"/>
      <c r="P48" s="3193" t="str">
        <f>A48</f>
        <v>成交单价（元/平方米）</v>
      </c>
      <c r="Q48" s="3178"/>
      <c r="R48" s="3179">
        <f>E48</f>
        <v>50886</v>
      </c>
      <c r="S48" s="3179"/>
      <c r="T48" s="3179">
        <f>G48</f>
        <v>51438</v>
      </c>
      <c r="U48" s="3179"/>
      <c r="V48" s="3179">
        <f>I48</f>
        <v>52483</v>
      </c>
      <c r="W48" s="3179"/>
      <c r="X48" s="445"/>
      <c r="Y48" s="780"/>
      <c r="Z48" s="445"/>
      <c r="AA48" s="445"/>
      <c r="AB48" s="445"/>
      <c r="AC48" s="629"/>
    </row>
    <row r="49" spans="1:29" ht="15.75" thickBot="1">
      <c r="A49" s="485" t="s">
        <v>2668</v>
      </c>
      <c r="B49" s="486"/>
      <c r="C49" s="1414">
        <f>R50</f>
        <v>56534</v>
      </c>
      <c r="D49" s="1415"/>
      <c r="E49" s="1416">
        <f>R49</f>
        <v>56696</v>
      </c>
      <c r="F49" s="1416"/>
      <c r="G49" s="1414">
        <f>T49</f>
        <v>52795</v>
      </c>
      <c r="H49" s="1415"/>
      <c r="I49" s="1416">
        <f>V49</f>
        <v>60110</v>
      </c>
      <c r="J49" s="488"/>
      <c r="K49" s="783"/>
      <c r="L49" s="1144"/>
      <c r="M49" s="1132"/>
      <c r="N49" s="1132"/>
      <c r="O49" s="1132"/>
      <c r="P49" s="3193" t="str">
        <f>A49</f>
        <v>比较价值（元/平方米）</v>
      </c>
      <c r="Q49" s="3178"/>
      <c r="R49" s="3179">
        <f>IF(F1="售价",ROUND(PRODUCT(R48,AA7:AA47),0),ROUND(PRODUCT(R48,AA7:AA47),1))</f>
        <v>56696</v>
      </c>
      <c r="S49" s="3179"/>
      <c r="T49" s="3179">
        <f>IF(F1="售价",ROUND(PRODUCT(T48,AB7:AB47),0),ROUND(PRODUCT(T48,AB7:AB47),1))</f>
        <v>52795</v>
      </c>
      <c r="U49" s="3179"/>
      <c r="V49" s="3179">
        <f>IF(F1="售价",ROUND(PRODUCT(V48,AC7:AC47),0),ROUND(PRODUCT(V48,AC7:AC47),1))</f>
        <v>60110</v>
      </c>
      <c r="W49" s="3179"/>
      <c r="X49" s="445"/>
      <c r="Y49" s="445"/>
      <c r="Z49" s="445"/>
      <c r="AA49" s="445"/>
      <c r="AB49" s="445"/>
      <c r="AC49" s="629"/>
    </row>
    <row r="50" spans="1:29" ht="15.75" thickBot="1">
      <c r="A50" s="491" t="s">
        <v>2669</v>
      </c>
      <c r="B50" s="492"/>
      <c r="C50" s="1418">
        <f>R50</f>
        <v>56534</v>
      </c>
      <c r="D50" s="1418"/>
      <c r="E50" s="1418"/>
      <c r="F50" s="1418"/>
      <c r="G50" s="1418"/>
      <c r="H50" s="1418"/>
      <c r="I50" s="1418"/>
      <c r="J50" s="493"/>
      <c r="K50" s="784"/>
      <c r="L50" s="1144"/>
      <c r="M50" s="1132"/>
      <c r="N50" s="1132"/>
      <c r="O50" s="1132"/>
      <c r="P50" s="3224" t="str">
        <f>A50</f>
        <v>估价对象XX用房的比较价值（楼面单价，元/平方米）</v>
      </c>
      <c r="Q50" s="3225"/>
      <c r="R50" s="3226">
        <f>IF(F1="售价",ROUND(AVERAGE(R49:V49),0),ROUND(AVERAGE(R49:V49),1))</f>
        <v>56534</v>
      </c>
      <c r="S50" s="3226"/>
      <c r="T50" s="3226"/>
      <c r="U50" s="3226"/>
      <c r="V50" s="3226"/>
      <c r="W50" s="3226"/>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f>IF(E48&lt;E49,E49/E48-1,E48/E49-1)</f>
        <v>0.1141767873285382</v>
      </c>
      <c r="F53" s="499" t="str">
        <f>IF(OR(E53&gt;=0.3,E53&lt;=-0.3),"超过30%","")</f>
        <v/>
      </c>
      <c r="G53" s="498">
        <f>IF(G48&lt;G49,G49/G48-1,G48/G49-1)</f>
        <v>2.6381274544111433E-2</v>
      </c>
      <c r="H53" s="499" t="str">
        <f>IF(OR(G53&gt;=0.3,G53&lt;=-0.3),"超过30%","")</f>
        <v/>
      </c>
      <c r="I53" s="498">
        <f>IF(I48&lt;I49,I49/I48-1,I48/I49-1)</f>
        <v>0.14532324752777082</v>
      </c>
      <c r="J53" s="499" t="str">
        <f>IF(OR(I53&gt;=0.3,I53&lt;=-0.3),"超过30%","")</f>
        <v/>
      </c>
      <c r="K53" s="1106"/>
      <c r="L53" s="1107"/>
      <c r="M53" s="1145"/>
      <c r="N53" s="1145"/>
      <c r="O53" s="1145"/>
    </row>
    <row r="54" spans="1:29" ht="13.5" customHeight="1">
      <c r="A54" s="1145"/>
      <c r="B54" s="1145"/>
      <c r="C54" s="496" t="s">
        <v>2671</v>
      </c>
      <c r="D54" s="500"/>
      <c r="E54" s="498">
        <f>IF(E49&lt;G49,G49/E49-1,E49/G49-1)</f>
        <v>7.3889572876219445E-2</v>
      </c>
      <c r="F54" s="499" t="str">
        <f>IF(OR(E54&gt;=0.2,E54&lt;=-0.2),"超过20%","")</f>
        <v/>
      </c>
      <c r="G54" s="498">
        <f>IF(G49&lt;I49,I49/G49-1,G49/I49-1)</f>
        <v>0.13855478738516913</v>
      </c>
      <c r="H54" s="499" t="str">
        <f>IF(OR(G54&gt;=0.2,G54&lt;=-0.2),"超过20%","")</f>
        <v/>
      </c>
      <c r="I54" s="498">
        <f>IF(I49&lt;E49,E49/I49-1,I49/E49-1)</f>
        <v>6.021588824608437E-2</v>
      </c>
      <c r="J54" s="499" t="str">
        <f>IF(OR(I54&gt;=0.2,I54&lt;=-0.2),"超过20%","")</f>
        <v/>
      </c>
      <c r="K54" s="1106"/>
      <c r="L54" s="1107"/>
      <c r="M54" s="1145"/>
      <c r="N54" s="1145"/>
      <c r="O54" s="1145"/>
    </row>
    <row r="55" spans="1:29" s="501" customFormat="1" ht="13.5" customHeight="1">
      <c r="A55" s="1146"/>
      <c r="B55" s="1146"/>
      <c r="C55" s="496" t="s">
        <v>2672</v>
      </c>
      <c r="D55" s="500"/>
      <c r="E55" s="498">
        <f>IF(E48&lt;G48,G48/E48-1,E48/G48-1)</f>
        <v>1.0847777384742407E-2</v>
      </c>
      <c r="F55" s="499" t="str">
        <f>IF(OR(E55&gt;=0.3,E55&lt;=-0.3),"超过30%","")</f>
        <v/>
      </c>
      <c r="G55" s="498">
        <f>IF(G48&lt;I48,I48/G48-1,G48/I48-1)</f>
        <v>2.0315719895796835E-2</v>
      </c>
      <c r="H55" s="499" t="str">
        <f>IF(OR(G55&gt;=0.3,G55&lt;=-0.3),"超过30%","")</f>
        <v/>
      </c>
      <c r="I55" s="498">
        <f>IF(I48&lt;E48,E48/I48-1,I48/E48-1)</f>
        <v>3.1383877687379602E-2</v>
      </c>
      <c r="J55" s="499" t="str">
        <f>IF(OR(I55&gt;=0.3,I55&lt;=-0.3),"超过30%","")</f>
        <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4" t="str">
        <f>YEAR(C7)&amp;"-"&amp;MONTH(C7)</f>
        <v>2019-1</v>
      </c>
      <c r="D59" s="1575">
        <f>EDATE(C59,-1)</f>
        <v>43435</v>
      </c>
      <c r="E59" s="1575">
        <f>EDATE(D59,-1)</f>
        <v>43405</v>
      </c>
      <c r="F59" s="1575">
        <f t="shared" ref="F59:P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2987">
        <f t="shared" si="16"/>
        <v>43070</v>
      </c>
    </row>
    <row r="60" spans="1:29" s="117" customFormat="1" ht="15">
      <c r="A60" s="508"/>
      <c r="B60" s="509"/>
      <c r="C60" s="1573">
        <v>100</v>
      </c>
      <c r="D60" s="511">
        <v>99</v>
      </c>
      <c r="E60" s="511">
        <v>99</v>
      </c>
      <c r="F60" s="511">
        <v>99</v>
      </c>
      <c r="G60" s="511">
        <v>98</v>
      </c>
      <c r="H60" s="511">
        <v>98</v>
      </c>
      <c r="I60" s="511">
        <v>98</v>
      </c>
      <c r="J60" s="511">
        <v>97</v>
      </c>
      <c r="K60" s="511">
        <v>97</v>
      </c>
      <c r="L60" s="511">
        <v>97</v>
      </c>
      <c r="M60" s="512">
        <v>96</v>
      </c>
      <c r="N60" s="511">
        <v>96</v>
      </c>
      <c r="O60" s="512">
        <v>96</v>
      </c>
      <c r="P60" s="512">
        <v>96</v>
      </c>
    </row>
    <row r="61" spans="1:29" s="117" customFormat="1" ht="15.75" thickBot="1">
      <c r="A61" s="514" t="s">
        <v>2584</v>
      </c>
      <c r="B61" s="515"/>
      <c r="C61" s="516"/>
      <c r="D61" s="517"/>
      <c r="E61" s="517"/>
      <c r="F61" s="517"/>
      <c r="G61" s="517"/>
      <c r="H61" s="517"/>
      <c r="I61" s="517"/>
      <c r="J61" s="517"/>
      <c r="K61" s="517"/>
      <c r="L61" s="517"/>
      <c r="M61" s="518"/>
      <c r="N61" s="517"/>
      <c r="O61" s="518"/>
      <c r="P61" s="2684"/>
      <c r="Q61" s="503"/>
    </row>
    <row r="62" spans="1:29" s="117" customFormat="1" ht="15">
      <c r="A62" s="520" t="s">
        <v>2549</v>
      </c>
      <c r="B62" s="509"/>
      <c r="C62" s="521" t="s">
        <v>2651</v>
      </c>
      <c r="D62" s="522"/>
      <c r="E62" s="522"/>
      <c r="F62" s="522"/>
      <c r="G62" s="522"/>
      <c r="H62" s="522"/>
      <c r="I62" s="522"/>
      <c r="J62" s="522"/>
      <c r="K62" s="522"/>
      <c r="L62" s="523"/>
      <c r="M62" s="524"/>
      <c r="N62" s="1152"/>
      <c r="O62" s="1152"/>
      <c r="P62" s="2685"/>
      <c r="Q62" s="503"/>
    </row>
    <row r="63" spans="1:29" s="117"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t="str">
        <f>C9</f>
        <v>办公</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4"/>
      <c r="O67" s="1154"/>
      <c r="P67" s="2686"/>
      <c r="Q67" s="503"/>
    </row>
    <row r="68" spans="1:17" ht="15.75" thickTop="1">
      <c r="A68" s="533"/>
      <c r="B68" s="545" t="s">
        <v>2557</v>
      </c>
      <c r="C68" s="546" t="str">
        <f>C69&amp;"（含）"&amp;"-"&amp;D69</f>
        <v>0（含）-1</v>
      </c>
      <c r="D68" s="546" t="str">
        <f t="shared" ref="D68:L68" si="17">D69&amp;"（含）"&amp;"-"&amp;E69</f>
        <v>1（含）-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v>0</v>
      </c>
      <c r="D69" s="548">
        <v>1</v>
      </c>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2968"/>
      <c r="D71" s="2968"/>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t="str">
        <f>B14</f>
        <v>交易方式</v>
      </c>
      <c r="C75" s="2985" t="s">
        <v>3215</v>
      </c>
      <c r="D75" s="2985" t="s">
        <v>3216</v>
      </c>
      <c r="E75" s="522"/>
      <c r="F75" s="522"/>
      <c r="G75" s="522"/>
      <c r="H75" s="563"/>
      <c r="I75" s="563"/>
      <c r="J75" s="563"/>
      <c r="K75" s="563"/>
      <c r="L75" s="564"/>
      <c r="M75" s="565"/>
      <c r="N75" s="1155"/>
      <c r="O75" s="1155"/>
      <c r="P75" s="2689"/>
      <c r="Q75" s="558"/>
    </row>
    <row r="76" spans="1:17" s="470" customFormat="1" ht="15.75" thickBot="1">
      <c r="A76" s="567"/>
      <c r="B76" s="568"/>
      <c r="C76" s="569">
        <v>100</v>
      </c>
      <c r="D76" s="569">
        <v>97</v>
      </c>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4"/>
      <c r="O86" s="1154"/>
      <c r="P86" s="2686"/>
      <c r="Q86" s="503"/>
    </row>
    <row r="87" spans="1:17" s="117" customFormat="1" ht="27.75" thickTop="1">
      <c r="A87" s="578"/>
      <c r="B87" s="537" t="s">
        <v>2698</v>
      </c>
      <c r="C87" s="2968" t="s">
        <v>3140</v>
      </c>
      <c r="D87" s="2968" t="s">
        <v>3142</v>
      </c>
      <c r="E87" s="2968" t="s">
        <v>3144</v>
      </c>
      <c r="F87" s="2968" t="s">
        <v>3146</v>
      </c>
      <c r="G87" s="2968" t="s">
        <v>3147</v>
      </c>
      <c r="H87" s="553"/>
      <c r="I87" s="553"/>
      <c r="J87" s="553"/>
      <c r="K87" s="553"/>
      <c r="L87" s="579"/>
      <c r="M87" s="580"/>
      <c r="N87" s="1152"/>
      <c r="O87" s="1152"/>
      <c r="P87" s="2686"/>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4"/>
      <c r="O88" s="1154"/>
      <c r="P88" s="2686"/>
      <c r="Q88" s="503"/>
    </row>
    <row r="89" spans="1:17" s="117"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2971" t="s">
        <v>3165</v>
      </c>
      <c r="D101" s="2971" t="s">
        <v>3186</v>
      </c>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54"/>
      <c r="O102" s="1154"/>
      <c r="P102" s="2686"/>
      <c r="Q102" s="503"/>
    </row>
    <row r="103" spans="1:17" ht="29.25" thickTop="1">
      <c r="A103" s="533"/>
      <c r="B103" s="537" t="s">
        <v>2612</v>
      </c>
      <c r="C103" s="577" t="str">
        <f>C104&amp;"(含)"&amp;"-"&amp;D104</f>
        <v>0(含)-50000</v>
      </c>
      <c r="D103" s="577" t="str">
        <f t="shared" ref="D103:L103" si="23">D104&amp;"(含)"&amp;"-"&amp;E104</f>
        <v>50000(含)-100000</v>
      </c>
      <c r="E103" s="577" t="str">
        <f t="shared" si="23"/>
        <v>100000(含)-150000</v>
      </c>
      <c r="F103" s="577" t="str">
        <f t="shared" si="23"/>
        <v>150000(含)-200000</v>
      </c>
      <c r="G103" s="577" t="str">
        <f t="shared" si="23"/>
        <v>200000(含)-250000</v>
      </c>
      <c r="H103" s="577" t="str">
        <f t="shared" si="23"/>
        <v>250000(含)-300000</v>
      </c>
      <c r="I103" s="577" t="str">
        <f t="shared" si="23"/>
        <v>300000(含)-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v>0</v>
      </c>
      <c r="D104" s="594">
        <v>50000</v>
      </c>
      <c r="E104" s="594">
        <v>100000</v>
      </c>
      <c r="F104" s="594">
        <v>150000</v>
      </c>
      <c r="G104" s="594">
        <v>200000</v>
      </c>
      <c r="H104" s="594">
        <v>250000</v>
      </c>
      <c r="I104" s="594">
        <v>300000</v>
      </c>
      <c r="J104" s="595"/>
      <c r="K104" s="595"/>
      <c r="L104" s="596"/>
      <c r="M104" s="597"/>
      <c r="N104" s="1155"/>
      <c r="O104" s="1155"/>
      <c r="P104" s="2687"/>
      <c r="Q104" s="558"/>
    </row>
    <row r="105" spans="1:17" s="470" customFormat="1" ht="15.75" thickBot="1">
      <c r="A105" s="552"/>
      <c r="B105" s="542"/>
      <c r="C105" s="559">
        <v>100</v>
      </c>
      <c r="D105" s="535">
        <v>98</v>
      </c>
      <c r="E105" s="535">
        <v>96</v>
      </c>
      <c r="F105" s="535">
        <v>94</v>
      </c>
      <c r="G105" s="535">
        <v>92</v>
      </c>
      <c r="H105" s="535">
        <v>90</v>
      </c>
      <c r="I105" s="535">
        <v>88</v>
      </c>
      <c r="J105" s="535"/>
      <c r="K105" s="535"/>
      <c r="L105" s="535"/>
      <c r="M105" s="536"/>
      <c r="N105" s="1154"/>
      <c r="O105" s="1154"/>
      <c r="P105" s="2687"/>
      <c r="Q105" s="558"/>
    </row>
    <row r="106" spans="1:17" ht="15" thickTop="1">
      <c r="A106" s="598"/>
      <c r="B106" s="537" t="s">
        <v>2613</v>
      </c>
      <c r="C106" s="2968" t="s">
        <v>3163</v>
      </c>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4"/>
      <c r="O107" s="1154"/>
      <c r="P107" s="2686"/>
      <c r="Q107" s="503"/>
    </row>
    <row r="108" spans="1:17" ht="15" thickTop="1">
      <c r="A108" s="598"/>
      <c r="B108" s="537" t="s">
        <v>2615</v>
      </c>
      <c r="C108" s="2968" t="s">
        <v>3162</v>
      </c>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4"/>
      <c r="O109" s="1154"/>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4"/>
      <c r="O112" s="1154"/>
      <c r="P112" s="2686"/>
      <c r="Q112" s="503"/>
    </row>
    <row r="113" spans="1:17" s="470" customFormat="1" ht="15" thickTop="1">
      <c r="A113" s="592"/>
      <c r="B113" s="537" t="s">
        <v>2699</v>
      </c>
      <c r="C113" s="2968" t="s">
        <v>3188</v>
      </c>
      <c r="D113" s="2968" t="s">
        <v>3190</v>
      </c>
      <c r="E113" s="2968" t="s">
        <v>3192</v>
      </c>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5"/>
      <c r="O114" s="1155"/>
      <c r="P114" s="2687"/>
      <c r="Q114" s="558"/>
    </row>
    <row r="115" spans="1:17" ht="15" thickTop="1">
      <c r="A115" s="598"/>
      <c r="B115" s="537" t="s">
        <v>2616</v>
      </c>
      <c r="C115" s="2968" t="s">
        <v>3161</v>
      </c>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4"/>
      <c r="O116" s="1154"/>
      <c r="P116" s="2686"/>
      <c r="Q116" s="503"/>
    </row>
    <row r="117" spans="1:17" ht="15" thickTop="1">
      <c r="A117" s="598"/>
      <c r="B117" s="537" t="s">
        <v>2617</v>
      </c>
      <c r="C117" s="2968" t="s">
        <v>3155</v>
      </c>
      <c r="D117" s="2968" t="s">
        <v>3157</v>
      </c>
      <c r="E117" s="2968" t="s">
        <v>3158</v>
      </c>
      <c r="F117" s="2968" t="s">
        <v>3159</v>
      </c>
      <c r="G117" s="553"/>
      <c r="H117" s="582"/>
      <c r="I117" s="582"/>
      <c r="J117" s="582"/>
      <c r="K117" s="583"/>
      <c r="L117" s="584"/>
      <c r="M117" s="585"/>
      <c r="N117" s="1153"/>
      <c r="O117" s="1153"/>
      <c r="P117" s="2686"/>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4"/>
      <c r="O118" s="1154"/>
      <c r="P118" s="2686"/>
      <c r="Q118" s="503"/>
    </row>
    <row r="119" spans="1:17" ht="15" thickTop="1">
      <c r="A119" s="598"/>
      <c r="B119" s="635" t="s">
        <v>2700</v>
      </c>
      <c r="C119" s="2970" t="s">
        <v>3154</v>
      </c>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2968" t="s">
        <v>3152</v>
      </c>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
  <sheetViews>
    <sheetView workbookViewId="0">
      <selection activeCell="B4" sqref="B4"/>
    </sheetView>
  </sheetViews>
  <sheetFormatPr defaultRowHeight="13.5"/>
  <sheetData>
    <row r="1" spans="1:18" s="2975" customFormat="1" ht="39.75">
      <c r="A1" s="2972" t="s">
        <v>3167</v>
      </c>
      <c r="B1" s="2972" t="s">
        <v>3168</v>
      </c>
      <c r="C1" s="2972" t="s">
        <v>3169</v>
      </c>
      <c r="D1" s="2972" t="s">
        <v>3170</v>
      </c>
      <c r="E1" s="2973" t="s">
        <v>3171</v>
      </c>
      <c r="F1" s="2972" t="s">
        <v>3172</v>
      </c>
      <c r="G1" s="2974" t="s">
        <v>3173</v>
      </c>
      <c r="H1" s="2974" t="s">
        <v>3174</v>
      </c>
      <c r="I1" s="2974" t="s">
        <v>3175</v>
      </c>
      <c r="J1" s="2974" t="s">
        <v>3176</v>
      </c>
      <c r="K1" s="2972" t="s">
        <v>3177</v>
      </c>
      <c r="L1" s="2972" t="s">
        <v>3178</v>
      </c>
      <c r="M1" s="2972" t="s">
        <v>3179</v>
      </c>
      <c r="N1" s="2972" t="s">
        <v>3180</v>
      </c>
      <c r="O1" s="2972" t="s">
        <v>3181</v>
      </c>
      <c r="P1" s="2972" t="s">
        <v>3182</v>
      </c>
      <c r="Q1" s="2972" t="s">
        <v>3183</v>
      </c>
      <c r="R1" s="2972" t="s">
        <v>3184</v>
      </c>
    </row>
    <row r="2" spans="1:18" s="2966" customFormat="1" ht="75.75" customHeight="1">
      <c r="A2" s="2958">
        <v>7</v>
      </c>
      <c r="B2" s="2959" t="s">
        <v>3103</v>
      </c>
      <c r="C2" s="2959"/>
      <c r="D2" s="2959" t="s">
        <v>3104</v>
      </c>
      <c r="E2" s="2960">
        <v>42917</v>
      </c>
      <c r="F2" s="2959" t="s">
        <v>3105</v>
      </c>
      <c r="G2" s="2961">
        <v>7.1</v>
      </c>
      <c r="H2" s="2962">
        <v>11438</v>
      </c>
      <c r="I2" s="2963">
        <v>6.4</v>
      </c>
      <c r="J2" s="2961">
        <f>13-1</f>
        <v>12</v>
      </c>
      <c r="K2" s="2964">
        <f>J2*365*0.8/I2/10000</f>
        <v>5.475E-2</v>
      </c>
      <c r="L2" s="2959" t="s">
        <v>3106</v>
      </c>
      <c r="M2" s="2965" t="s">
        <v>3107</v>
      </c>
      <c r="N2" s="2965" t="s">
        <v>3108</v>
      </c>
      <c r="O2" s="2959" t="s">
        <v>3109</v>
      </c>
      <c r="P2" s="2959" t="s">
        <v>3108</v>
      </c>
      <c r="Q2" s="2959" t="s">
        <v>3110</v>
      </c>
      <c r="R2" s="2959" t="s">
        <v>3111</v>
      </c>
    </row>
    <row r="3" spans="1:18" s="2966" customFormat="1" ht="75.75" customHeight="1">
      <c r="A3" s="2958">
        <v>17</v>
      </c>
      <c r="B3" s="2959" t="s">
        <v>3136</v>
      </c>
      <c r="C3" s="2959"/>
      <c r="D3" s="2959" t="s">
        <v>3112</v>
      </c>
      <c r="E3" s="2960">
        <v>43070</v>
      </c>
      <c r="F3" s="2959" t="s">
        <v>3113</v>
      </c>
      <c r="G3" s="2961">
        <v>5.33</v>
      </c>
      <c r="H3" s="2962">
        <v>10474.4</v>
      </c>
      <c r="I3" s="2963">
        <f>G3*10000/H3</f>
        <v>5.0885969602077452</v>
      </c>
      <c r="J3" s="2961">
        <v>0</v>
      </c>
      <c r="K3" s="2964" t="s">
        <v>3114</v>
      </c>
      <c r="L3" s="2959" t="s">
        <v>3115</v>
      </c>
      <c r="M3" s="2959" t="s">
        <v>3116</v>
      </c>
      <c r="N3" s="2959" t="s">
        <v>3117</v>
      </c>
      <c r="O3" s="2959" t="s">
        <v>3118</v>
      </c>
      <c r="P3" s="2959" t="s">
        <v>3119</v>
      </c>
      <c r="Q3" s="2959" t="s">
        <v>3120</v>
      </c>
      <c r="R3" s="2965"/>
    </row>
    <row r="4" spans="1:18" s="2966" customFormat="1" ht="75.75" customHeight="1">
      <c r="A4" s="2958">
        <v>18</v>
      </c>
      <c r="B4" s="2959" t="s">
        <v>3166</v>
      </c>
      <c r="C4" s="2959"/>
      <c r="D4" s="2959" t="s">
        <v>3121</v>
      </c>
      <c r="E4" s="2960">
        <v>43070</v>
      </c>
      <c r="F4" s="2959" t="s">
        <v>3122</v>
      </c>
      <c r="G4" s="2961">
        <v>18</v>
      </c>
      <c r="H4" s="2962">
        <v>34993.54</v>
      </c>
      <c r="I4" s="2963">
        <f>G4*10000/H4</f>
        <v>5.1438065425790018</v>
      </c>
      <c r="J4" s="2961">
        <f>6-0.5</f>
        <v>5.5</v>
      </c>
      <c r="K4" s="2964">
        <f t="shared" ref="K4" si="0">J4*365*0.8/I4/10000</f>
        <v>3.122201402222222E-2</v>
      </c>
      <c r="L4" s="2959" t="s">
        <v>3123</v>
      </c>
      <c r="M4" s="2959" t="s">
        <v>3124</v>
      </c>
      <c r="N4" s="2959" t="s">
        <v>3108</v>
      </c>
      <c r="O4" s="2959" t="s">
        <v>3125</v>
      </c>
      <c r="P4" s="2959" t="s">
        <v>3126</v>
      </c>
      <c r="Q4" s="2959" t="s">
        <v>3127</v>
      </c>
      <c r="R4" s="2959"/>
    </row>
    <row r="5" spans="1:18" s="2966" customFormat="1" ht="75.75" customHeight="1">
      <c r="A5" s="2958">
        <v>30</v>
      </c>
      <c r="B5" s="2959" t="s">
        <v>3137</v>
      </c>
      <c r="C5" s="2959"/>
      <c r="D5" s="2959" t="s">
        <v>3128</v>
      </c>
      <c r="E5" s="2960">
        <v>43070</v>
      </c>
      <c r="F5" s="2959" t="s">
        <v>3129</v>
      </c>
      <c r="G5" s="2961">
        <v>25.56</v>
      </c>
      <c r="H5" s="2962">
        <v>48701.64</v>
      </c>
      <c r="I5" s="2963">
        <f t="shared" ref="I5" si="1">G5*10000/H5</f>
        <v>5.248283220031194</v>
      </c>
      <c r="J5" s="2961">
        <v>0</v>
      </c>
      <c r="K5" s="2964" t="s">
        <v>3114</v>
      </c>
      <c r="L5" s="2959" t="s">
        <v>3115</v>
      </c>
      <c r="M5" s="2959" t="s">
        <v>3130</v>
      </c>
      <c r="N5" s="2959" t="s">
        <v>3131</v>
      </c>
      <c r="O5" s="2959" t="s">
        <v>3132</v>
      </c>
      <c r="P5" s="2959" t="s">
        <v>3133</v>
      </c>
      <c r="Q5" s="2959" t="s">
        <v>3120</v>
      </c>
      <c r="R5" s="2959"/>
    </row>
  </sheetData>
  <phoneticPr fontId="143"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90:O140"/>
  <sheetViews>
    <sheetView topLeftCell="A7" workbookViewId="0">
      <selection activeCell="B203" sqref="B203"/>
    </sheetView>
  </sheetViews>
  <sheetFormatPr defaultRowHeight="13.5"/>
  <sheetData>
    <row r="90" spans="12:12">
      <c r="L90">
        <v>13</v>
      </c>
    </row>
    <row r="120" spans="15:15">
      <c r="O120">
        <v>10.6</v>
      </c>
    </row>
    <row r="131" spans="15:15">
      <c r="O131">
        <v>12</v>
      </c>
    </row>
    <row r="140" spans="15:15">
      <c r="O140">
        <v>14</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2525</v>
      </c>
      <c r="B1" s="2564"/>
      <c r="C1" s="2564"/>
      <c r="D1" s="2564"/>
      <c r="E1" s="2565"/>
    </row>
    <row r="2" spans="1:6" ht="15.75">
      <c r="A2" s="2566" t="s">
        <v>2326</v>
      </c>
      <c r="B2" s="2567">
        <f ca="1">SUMIF(B6:B13,"&lt;&gt;#ref!",B6:B13)</f>
        <v>771951</v>
      </c>
      <c r="C2" s="2568" t="s">
        <v>2518</v>
      </c>
      <c r="D2" s="2569" t="s">
        <v>2519</v>
      </c>
      <c r="E2" s="2570">
        <f>SUM(E6:E13)</f>
        <v>166180.57</v>
      </c>
    </row>
    <row r="3" spans="1:6" ht="15.75">
      <c r="A3" s="2566" t="s">
        <v>1395</v>
      </c>
      <c r="B3" s="2567">
        <f ca="1">ROUND(B2*10000/E2,0)</f>
        <v>46453</v>
      </c>
      <c r="C3" s="2568" t="s">
        <v>2526</v>
      </c>
      <c r="D3" s="2571"/>
      <c r="E3" s="2572"/>
    </row>
    <row r="4" spans="1:6" ht="15.75">
      <c r="A4" s="2573"/>
      <c r="B4" s="2571"/>
      <c r="C4" s="2571"/>
      <c r="D4" s="2571"/>
      <c r="E4" s="2572"/>
    </row>
    <row r="5" spans="1:6" ht="15">
      <c r="A5" s="2574" t="s">
        <v>2520</v>
      </c>
      <c r="B5" s="3240" t="s">
        <v>2521</v>
      </c>
      <c r="C5" s="3240"/>
      <c r="D5" s="2575"/>
      <c r="E5" s="2576" t="s">
        <v>2522</v>
      </c>
      <c r="F5" s="2577" t="s">
        <v>2523</v>
      </c>
    </row>
    <row r="6" spans="1:6">
      <c r="A6" s="2578" t="str">
        <f>'数据-取费表'!AN6</f>
        <v>收益法（1层商业）</v>
      </c>
      <c r="B6" s="2577">
        <f ca="1">IF(F6="是",'数据-取费表'!AO6,0)</f>
        <v>37581</v>
      </c>
      <c r="C6" s="2568" t="s">
        <v>2518</v>
      </c>
      <c r="D6" s="2571"/>
      <c r="E6" s="2579">
        <f>IF(OR(A6=0,F6="否"),0,'数据-取费表'!K6+'数据-取费表'!S6)</f>
        <v>5376.06</v>
      </c>
      <c r="F6" s="2580" t="s">
        <v>2524</v>
      </c>
    </row>
    <row r="7" spans="1:6">
      <c r="A7" s="2578" t="str">
        <f>'数据-取费表'!AN7</f>
        <v>收益法 (办公)</v>
      </c>
      <c r="B7" s="2577">
        <f ca="1">IF(F7="是",'数据-取费表'!AO7,0)</f>
        <v>628024</v>
      </c>
      <c r="C7" s="2568" t="s">
        <v>2518</v>
      </c>
      <c r="D7" s="2571"/>
      <c r="E7" s="2579">
        <f>IF(OR(A7=0,F7="否"),0,'数据-取费表'!K7+'数据-取费表'!S7)</f>
        <v>96008.250000000015</v>
      </c>
      <c r="F7" s="2580" t="s">
        <v>2524</v>
      </c>
    </row>
    <row r="8" spans="1:6">
      <c r="A8" s="2578" t="str">
        <f>'数据-取费表'!AN8</f>
        <v>收益法 (地下车库)</v>
      </c>
      <c r="B8" s="2577">
        <f ca="1">IF(F8="是",'数据-取费表'!AO8,0)</f>
        <v>27795</v>
      </c>
      <c r="C8" s="2568" t="s">
        <v>2518</v>
      </c>
      <c r="D8" s="2571"/>
      <c r="E8" s="2579">
        <f>IF(OR(A8=0,F8="否"),0,'数据-取费表'!K8+'数据-取费表'!S8)</f>
        <v>32585.45</v>
      </c>
      <c r="F8" s="2580" t="s">
        <v>2524</v>
      </c>
    </row>
    <row r="9" spans="1:6">
      <c r="A9" s="2578" t="str">
        <f>'数据-取费表'!AN9</f>
        <v>收益法 (地下商业)</v>
      </c>
      <c r="B9" s="2577">
        <f ca="1">IF(F9="是",'数据-取费表'!AO9,0)</f>
        <v>78551</v>
      </c>
      <c r="C9" s="2568" t="s">
        <v>2518</v>
      </c>
      <c r="D9" s="2571"/>
      <c r="E9" s="2579">
        <f>IF(OR(A9=0,F9="否"),0,'数据-取费表'!K9+'数据-取费表'!S9)</f>
        <v>32210.81</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85" zoomScaleNormal="85" zoomScaleSheetLayoutView="90" workbookViewId="0">
      <selection activeCell="D16" sqref="D16:D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3065</v>
      </c>
      <c r="D1" s="1820" t="s">
        <v>70</v>
      </c>
      <c r="E1" s="1821" t="s">
        <v>1387</v>
      </c>
      <c r="F1" s="1284">
        <f ca="1">J53</f>
        <v>32.369999999999997</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37581</v>
      </c>
      <c r="C2" s="1845" t="s">
        <v>1516</v>
      </c>
      <c r="D2" s="1845"/>
      <c r="E2" s="1846"/>
      <c r="F2" s="1847"/>
      <c r="G2" s="1848"/>
      <c r="H2" s="1840"/>
      <c r="I2" s="1840"/>
      <c r="J2" s="1840"/>
      <c r="K2" s="1841"/>
      <c r="L2" s="1840"/>
      <c r="M2" s="1840"/>
    </row>
    <row r="3" spans="1:37" ht="18" customHeight="1" thickBot="1">
      <c r="A3" s="1849" t="s">
        <v>1517</v>
      </c>
      <c r="B3" s="1850">
        <f ca="1">IF(ISERROR(B2*10000/F43),0,ROUND(B2*10000/F43,0))</f>
        <v>70562</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2588</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2585</v>
      </c>
      <c r="D6" s="164" t="s">
        <v>3033</v>
      </c>
      <c r="E6" s="346" t="s">
        <v>1405</v>
      </c>
      <c r="F6" s="347">
        <f ca="1">INDIRECT("'数据-取费表'!u"&amp;$G$1)</f>
        <v>14</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5325.9400000000005</v>
      </c>
      <c r="G7" s="1851"/>
      <c r="H7" s="348"/>
      <c r="I7" s="3244"/>
      <c r="J7" s="350"/>
      <c r="K7" s="351"/>
      <c r="L7" s="346" t="s">
        <v>1406</v>
      </c>
      <c r="M7" s="347">
        <f ca="1">F7</f>
        <v>5325.9400000000005</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0.05</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3</v>
      </c>
      <c r="D10" s="1824" t="s">
        <v>3042</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4908</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3741</v>
      </c>
      <c r="D14" s="1800" t="s">
        <v>1418</v>
      </c>
      <c r="E14" s="1794"/>
      <c r="F14" s="363"/>
      <c r="G14" s="1851"/>
      <c r="H14" s="1202" t="s">
        <v>1035</v>
      </c>
      <c r="I14" s="346" t="s">
        <v>1419</v>
      </c>
      <c r="J14" s="24">
        <f ca="1">C29</f>
        <v>5774</v>
      </c>
      <c r="K14" s="15"/>
      <c r="L14" s="980"/>
      <c r="M14" s="981"/>
    </row>
    <row r="15" spans="1:37" s="1858" customFormat="1" ht="18" customHeight="1" thickBot="1">
      <c r="A15" s="1202" t="s">
        <v>1036</v>
      </c>
      <c r="B15" s="346" t="s">
        <v>1420</v>
      </c>
      <c r="C15" s="24">
        <f ca="1">ROUND(C14*F15,0)</f>
        <v>112</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136</v>
      </c>
      <c r="K16" s="1338" t="s">
        <v>1425</v>
      </c>
      <c r="L16" s="1339"/>
      <c r="M16" s="1295"/>
    </row>
    <row r="17" spans="1:37" s="1858" customFormat="1" ht="18" customHeight="1">
      <c r="A17" s="1202" t="s">
        <v>1390</v>
      </c>
      <c r="B17" s="346" t="s">
        <v>1426</v>
      </c>
      <c r="C17" s="24">
        <f ca="1">ROUND(F17*(F43+INDIRECT("'数据-取费表'!S"&amp;$G$1))/10000,0)</f>
        <v>108</v>
      </c>
      <c r="D17" s="346" t="s">
        <v>1427</v>
      </c>
      <c r="E17" s="346" t="s">
        <v>1428</v>
      </c>
      <c r="F17" s="26">
        <f>'数据-取费表'!B35</f>
        <v>200</v>
      </c>
      <c r="G17" s="1854"/>
      <c r="H17" s="1202" t="s">
        <v>1035</v>
      </c>
      <c r="I17" s="346" t="s">
        <v>1429</v>
      </c>
      <c r="J17" s="24">
        <f ca="1">ROUND(IF(项目基本情况!B11="自然人",J5*M17,J18+J19+J20),1)</f>
        <v>49.6</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56</v>
      </c>
      <c r="D18" s="346" t="s">
        <v>1421</v>
      </c>
      <c r="E18" s="346" t="s">
        <v>1422</v>
      </c>
      <c r="F18" s="366">
        <f>'数据-取费表'!B36</f>
        <v>1.4999999999999999E-2</v>
      </c>
      <c r="G18" s="1854"/>
      <c r="H18" s="1202" t="s">
        <v>1034</v>
      </c>
      <c r="I18" s="346" t="s">
        <v>1433</v>
      </c>
      <c r="J18" s="24">
        <f ca="1">ROUND(J5*M18/(1+'数据-取费表'!C42),2)</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4017</v>
      </c>
      <c r="D19" s="140" t="s">
        <v>1436</v>
      </c>
      <c r="E19" s="1818"/>
      <c r="F19" s="26"/>
      <c r="G19" s="1851"/>
      <c r="H19" s="1202" t="s">
        <v>1036</v>
      </c>
      <c r="I19" s="346" t="s">
        <v>1437</v>
      </c>
      <c r="J19" s="24">
        <f ca="1">IF(K19="按租金收入计税",ROUND(J5*M19,2),ROUND(C29*M19*0.7,2))</f>
        <v>48.5</v>
      </c>
      <c r="K19" s="1828" t="s">
        <v>1438</v>
      </c>
      <c r="L19" s="346" t="s">
        <v>1422</v>
      </c>
      <c r="M19" s="366">
        <f>IF(K19="按租金收入计税",'数据-取费表'!B51,'数据-取费表'!B50)</f>
        <v>1.2E-2</v>
      </c>
    </row>
    <row r="20" spans="1:37" s="1858" customFormat="1" ht="18" customHeight="1">
      <c r="A20" s="1202" t="s">
        <v>1039</v>
      </c>
      <c r="B20" s="346" t="s">
        <v>1439</v>
      </c>
      <c r="C20" s="24">
        <f ca="1">ROUND(C19*F20,0)</f>
        <v>80</v>
      </c>
      <c r="D20" s="368" t="s">
        <v>1440</v>
      </c>
      <c r="E20" s="346" t="s">
        <v>1422</v>
      </c>
      <c r="F20" s="366">
        <f>'数据-取费表'!B37</f>
        <v>0.02</v>
      </c>
      <c r="G20" s="1854"/>
      <c r="H20" s="1202" t="s">
        <v>1389</v>
      </c>
      <c r="I20" s="164" t="s">
        <v>1441</v>
      </c>
      <c r="J20" s="25">
        <f ca="1">ROUND(M20*M21/10000,2)</f>
        <v>1.1399999999999999</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475.79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8"/>
      <c r="F22" s="26"/>
      <c r="G22" s="1851"/>
      <c r="H22" s="1202" t="s">
        <v>1039</v>
      </c>
      <c r="I22" s="346" t="s">
        <v>1449</v>
      </c>
      <c r="J22" s="24">
        <f ca="1">ROUND(J14*M22,1)</f>
        <v>86.6</v>
      </c>
      <c r="K22" s="1798"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195</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ROUND(J5*M24,1)</f>
        <v>0</v>
      </c>
      <c r="K24" s="1343" t="s">
        <v>1459</v>
      </c>
      <c r="L24" s="1341" t="s">
        <v>1455</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1818"/>
      <c r="F25" s="26"/>
      <c r="G25" s="1851"/>
      <c r="H25" s="1330" t="s">
        <v>1031</v>
      </c>
      <c r="I25" s="1345" t="s">
        <v>1463</v>
      </c>
      <c r="J25" s="354">
        <f ca="1">J5-J16</f>
        <v>-136</v>
      </c>
      <c r="K25" s="1346" t="s">
        <v>1464</v>
      </c>
      <c r="L25" s="1347"/>
      <c r="M25" s="1348"/>
    </row>
    <row r="26" spans="1:37">
      <c r="A26" s="1202" t="s">
        <v>1034</v>
      </c>
      <c r="B26" s="346" t="s">
        <v>1465</v>
      </c>
      <c r="C26" s="24">
        <f ca="1">ROUND((C19+C20)*F26,0)</f>
        <v>1024</v>
      </c>
      <c r="D26" s="368" t="s">
        <v>1466</v>
      </c>
      <c r="E26" s="357" t="s">
        <v>1467</v>
      </c>
      <c r="F26" s="356">
        <f ca="1">INDIRECT("'数据-取费表'!q"&amp;$G$1)</f>
        <v>0.25</v>
      </c>
      <c r="G26" s="1851"/>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5.0000000000000001E-3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5774</v>
      </c>
      <c r="D29" s="1343"/>
      <c r="E29" s="1341"/>
      <c r="F29" s="1344"/>
      <c r="G29" s="1854"/>
      <c r="H29" s="379" t="s">
        <v>1033</v>
      </c>
      <c r="I29" s="380" t="s">
        <v>1479</v>
      </c>
      <c r="J29" s="381">
        <f ca="1">ROUND(J26/(1+F40)^F41,0)</f>
        <v>0</v>
      </c>
      <c r="K29" s="382" t="s">
        <v>1480</v>
      </c>
      <c r="L29" s="383"/>
      <c r="M29" s="384">
        <f ca="1">INDIRECT("'数据-取费表'!k"&amp;$G$1)</f>
        <v>5325.9400000000005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598</v>
      </c>
      <c r="D30" s="1338" t="s">
        <v>1425</v>
      </c>
      <c r="E30" s="1339"/>
      <c r="F30" s="1295"/>
      <c r="G30" s="1851"/>
      <c r="H30" s="744"/>
      <c r="I30" s="745"/>
      <c r="J30" s="746"/>
      <c r="K30" s="747"/>
      <c r="L30" s="748"/>
      <c r="M30" s="749"/>
    </row>
    <row r="31" spans="1:37" ht="18" customHeight="1">
      <c r="A31" s="1202" t="s">
        <v>1035</v>
      </c>
      <c r="B31" s="346" t="s">
        <v>1429</v>
      </c>
      <c r="C31" s="24">
        <f ca="1">ROUND(IF(项目基本情况!B11="自然人",C5*F31,C32+C33+C34),1)</f>
        <v>449.7</v>
      </c>
      <c r="D31" s="1800" t="s">
        <v>1430</v>
      </c>
      <c r="E31" s="1798"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138.03</v>
      </c>
      <c r="D32" s="1798"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310.56</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1.1399999999999999</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475.79</v>
      </c>
      <c r="G35" s="1851"/>
      <c r="H35" s="744"/>
      <c r="I35" s="1860"/>
      <c r="J35" s="1861"/>
      <c r="K35" s="1862"/>
      <c r="L35" s="1859"/>
      <c r="M35" s="1859"/>
    </row>
    <row r="36" spans="1:18" ht="18" customHeight="1">
      <c r="A36" s="1353" t="s">
        <v>1039</v>
      </c>
      <c r="B36" s="346" t="s">
        <v>1449</v>
      </c>
      <c r="C36" s="24">
        <f ca="1">ROUND(C29*F36,1)</f>
        <v>86.6</v>
      </c>
      <c r="D36" s="1798"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9.8000000000000007</v>
      </c>
      <c r="D37" s="1798" t="s">
        <v>1454</v>
      </c>
      <c r="E37" s="346" t="s">
        <v>1455</v>
      </c>
      <c r="F37" s="375">
        <f ca="1">INDIRECT("'数据-取费表'!Al"&amp;$G$1)</f>
        <v>2E-3</v>
      </c>
      <c r="G37" s="1851"/>
      <c r="H37" s="1859"/>
      <c r="I37" s="1860"/>
      <c r="J37" s="1861"/>
      <c r="K37" s="750"/>
      <c r="L37" s="1859"/>
      <c r="M37" s="1859"/>
    </row>
    <row r="38" spans="1:18" ht="18" customHeight="1" thickBot="1">
      <c r="A38" s="1340" t="s">
        <v>1393</v>
      </c>
      <c r="B38" s="1341" t="s">
        <v>1439</v>
      </c>
      <c r="C38" s="1342">
        <f ca="1">ROUND(C5*F38,1)</f>
        <v>51.8</v>
      </c>
      <c r="D38" s="1343" t="s">
        <v>1459</v>
      </c>
      <c r="E38" s="1341" t="s">
        <v>1455</v>
      </c>
      <c r="F38" s="1337">
        <f ca="1">INDIRECT("'数据-取费表'!Am"&amp;$G$1)</f>
        <v>0.02</v>
      </c>
      <c r="G38" s="1851"/>
      <c r="H38" s="1859"/>
      <c r="I38" s="1860"/>
      <c r="J38" s="1861"/>
      <c r="K38" s="1865"/>
      <c r="L38" s="1859"/>
      <c r="M38" s="1859"/>
    </row>
    <row r="39" spans="1:18" ht="24.6" customHeight="1" thickTop="1">
      <c r="A39" s="1330" t="s">
        <v>1031</v>
      </c>
      <c r="B39" s="1345" t="s">
        <v>1483</v>
      </c>
      <c r="C39" s="354">
        <f ca="1">C5-C30</f>
        <v>1990</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37581</v>
      </c>
      <c r="D40" s="369" t="s">
        <v>1469</v>
      </c>
      <c r="E40" s="346" t="s">
        <v>1470</v>
      </c>
      <c r="F40" s="356">
        <f ca="1">INDIRECT("'数据-取费表'!I"&amp;$G$1)</f>
        <v>6.5000000000000002E-2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0.03</v>
      </c>
      <c r="G42" s="1851"/>
      <c r="H42" s="731"/>
      <c r="I42" s="1860"/>
      <c r="J42" s="1861"/>
      <c r="K42" s="750"/>
      <c r="L42" s="731"/>
      <c r="M42" s="731"/>
    </row>
    <row r="43" spans="1:18" ht="18" customHeight="1" thickBot="1">
      <c r="A43" s="379" t="s">
        <v>1033</v>
      </c>
      <c r="B43" s="380" t="s">
        <v>1487</v>
      </c>
      <c r="C43" s="381">
        <f ca="1">ROUND(C40*10000/F43,0)</f>
        <v>70562</v>
      </c>
      <c r="D43" s="382" t="s">
        <v>1488</v>
      </c>
      <c r="E43" s="383" t="s">
        <v>1489</v>
      </c>
      <c r="F43" s="384">
        <f ca="1">INDIRECT("'数据-取费表'!k"&amp;$G$1)</f>
        <v>5325.9400000000005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-45382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37581</v>
      </c>
      <c r="R47" s="1886" t="s">
        <v>1529</v>
      </c>
    </row>
    <row r="48" spans="1:18" s="1842" customFormat="1" ht="28.5" thickBot="1">
      <c r="A48" s="1361" t="s">
        <v>1135</v>
      </c>
      <c r="B48" s="344" t="s">
        <v>1401</v>
      </c>
      <c r="C48" s="1817">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3034</v>
      </c>
      <c r="E49" s="1830" t="s">
        <v>1491</v>
      </c>
      <c r="F49" s="1282"/>
      <c r="G49" s="1891"/>
      <c r="H49" s="792"/>
      <c r="I49" s="1887" t="s">
        <v>1534</v>
      </c>
      <c r="J49" s="1892">
        <v>2003</v>
      </c>
      <c r="K49" s="1889" t="s">
        <v>1535</v>
      </c>
      <c r="L49" s="1893"/>
      <c r="O49" s="1894" t="s">
        <v>1042</v>
      </c>
      <c r="P49" s="1885" t="s">
        <v>1536</v>
      </c>
      <c r="Q49" s="1886">
        <f ca="1">C29</f>
        <v>5774</v>
      </c>
      <c r="R49" s="1886" t="s">
        <v>1529</v>
      </c>
    </row>
    <row r="50" spans="1:18" s="1842" customFormat="1" ht="13.5" thickBot="1">
      <c r="A50" s="1196"/>
      <c r="B50" s="1199"/>
      <c r="C50" s="1369"/>
      <c r="D50" s="1173"/>
      <c r="E50" s="1278" t="s">
        <v>1406</v>
      </c>
      <c r="F50" s="1279">
        <f ca="1">F7</f>
        <v>5325.9400000000005</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24973</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37581</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4908</v>
      </c>
      <c r="D56" s="1914"/>
      <c r="E56" s="1915"/>
      <c r="F56" s="1907"/>
      <c r="I56" s="1916" t="s">
        <v>1554</v>
      </c>
      <c r="J56" s="1917" t="s">
        <v>3060</v>
      </c>
      <c r="K56" s="1887" t="s">
        <v>1555</v>
      </c>
      <c r="L56" s="1890" t="str">
        <f ca="1">IF(L48&lt;J51,"——",L48-J53)</f>
        <v>——</v>
      </c>
      <c r="O56" s="1884" t="s">
        <v>1040</v>
      </c>
      <c r="P56" s="1885" t="s">
        <v>1528</v>
      </c>
      <c r="Q56" s="1886">
        <f ca="1">C40+J29</f>
        <v>37581</v>
      </c>
      <c r="R56" s="1886" t="s">
        <v>1529</v>
      </c>
    </row>
    <row r="57" spans="1:18" s="1842" customFormat="1" ht="24.75" thickBot="1">
      <c r="A57" s="1918"/>
      <c r="B57" s="1170" t="s">
        <v>1478</v>
      </c>
      <c r="C57" s="281">
        <f ca="1">C29</f>
        <v>5774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583</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486.2</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485.02</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1.1399999999999999</v>
      </c>
      <c r="D62" s="1185" t="s">
        <v>1497</v>
      </c>
      <c r="E62" s="1170" t="s">
        <v>1498</v>
      </c>
      <c r="F62" s="370">
        <f t="shared" si="0"/>
        <v>24</v>
      </c>
      <c r="I62" s="1929" t="s">
        <v>1570</v>
      </c>
      <c r="J62" s="1930" t="s">
        <v>1571</v>
      </c>
      <c r="K62" s="1930" t="s">
        <v>1572</v>
      </c>
      <c r="L62" s="1930" t="s">
        <v>1573</v>
      </c>
      <c r="M62" s="1931" t="s">
        <v>1574</v>
      </c>
      <c r="O62" s="1884" t="s">
        <v>1046</v>
      </c>
      <c r="P62" s="1885" t="s">
        <v>1575</v>
      </c>
      <c r="Q62" s="1886">
        <f ca="1">Q56+Q57</f>
        <v>37581</v>
      </c>
      <c r="R62" s="1886" t="s">
        <v>1047</v>
      </c>
    </row>
    <row r="63" spans="1:18" s="1842" customFormat="1" ht="13.5" thickBot="1">
      <c r="A63" s="371"/>
      <c r="B63" s="1176"/>
      <c r="C63" s="29"/>
      <c r="D63" s="1186"/>
      <c r="E63" s="1170" t="s">
        <v>1499</v>
      </c>
      <c r="F63" s="347">
        <f t="shared" ca="1" si="0"/>
        <v>475.79</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86.6</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9.8000000000000007</v>
      </c>
      <c r="D65" s="1184" t="s">
        <v>1454</v>
      </c>
      <c r="E65" s="1170" t="s">
        <v>1455</v>
      </c>
      <c r="F65" s="375">
        <f t="shared" ca="1" si="0"/>
        <v>2E-3</v>
      </c>
      <c r="I65" s="1929" t="s">
        <v>1579</v>
      </c>
      <c r="J65" s="1930">
        <v>40</v>
      </c>
      <c r="K65" s="1930">
        <v>30</v>
      </c>
      <c r="L65" s="1930">
        <v>50</v>
      </c>
      <c r="M65" s="1932">
        <v>0.02</v>
      </c>
      <c r="O65" s="1884" t="s">
        <v>1040</v>
      </c>
      <c r="P65" s="1885" t="s">
        <v>1580</v>
      </c>
      <c r="Q65" s="1886">
        <f ca="1">C40+J29</f>
        <v>37581</v>
      </c>
      <c r="R65" s="1886" t="s">
        <v>1529</v>
      </c>
    </row>
    <row r="66" spans="1:18" s="1842" customFormat="1" ht="16.5" thickBot="1">
      <c r="A66" s="1202" t="s">
        <v>1504</v>
      </c>
      <c r="B66" s="1170" t="s">
        <v>1439</v>
      </c>
      <c r="C66" s="24">
        <f ca="1">ROUND(C48*F66,1)</f>
        <v>0</v>
      </c>
      <c r="D66" s="1184" t="s">
        <v>1505</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-583</v>
      </c>
      <c r="D67" s="1183" t="s">
        <v>1464</v>
      </c>
      <c r="E67" s="1188"/>
      <c r="F67" s="1189"/>
      <c r="O67" s="1894" t="s">
        <v>1042</v>
      </c>
      <c r="P67" s="1885" t="s">
        <v>1562</v>
      </c>
      <c r="Q67" s="1933">
        <f ca="1">L51</f>
        <v>24973</v>
      </c>
      <c r="R67" s="1886" t="s">
        <v>1582</v>
      </c>
    </row>
    <row r="68" spans="1:18" s="1842" customFormat="1" ht="16.5" thickBot="1">
      <c r="A68" s="1167" t="s">
        <v>1032</v>
      </c>
      <c r="B68" s="1168" t="s">
        <v>1485</v>
      </c>
      <c r="C68" s="345">
        <f ca="1">ROUND(C67*(1-((1+F70)/(1+F68))^F69)/(F68-F70),0)</f>
        <v>-7801</v>
      </c>
      <c r="D68" s="1185" t="s">
        <v>1469</v>
      </c>
      <c r="E68" s="1170" t="s">
        <v>1470</v>
      </c>
      <c r="F68" s="356">
        <f ca="1">F40</f>
        <v>6.5000000000000002E-2</v>
      </c>
      <c r="O68" s="1894" t="s">
        <v>1043</v>
      </c>
      <c r="P68" s="1934" t="s">
        <v>1583</v>
      </c>
      <c r="Q68" s="1886">
        <f ca="1">ROUND(Q69-Q70*Q71,0)</f>
        <v>1573</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1990</v>
      </c>
      <c r="R69" s="1886" t="s">
        <v>1529</v>
      </c>
    </row>
    <row r="70" spans="1:18" s="1842" customFormat="1" ht="13.5" thickBot="1">
      <c r="A70" s="1174"/>
      <c r="B70" s="1175"/>
      <c r="C70" s="354"/>
      <c r="D70" s="1186"/>
      <c r="E70" s="1170" t="s">
        <v>1477</v>
      </c>
      <c r="F70" s="1276"/>
      <c r="O70" s="1894" t="s">
        <v>1049</v>
      </c>
      <c r="P70" s="1934" t="s">
        <v>1585</v>
      </c>
      <c r="Q70" s="1886">
        <f ca="1">C13</f>
        <v>4908</v>
      </c>
      <c r="R70" s="1886" t="s">
        <v>1529</v>
      </c>
    </row>
    <row r="71" spans="1:18" s="1842" customFormat="1" ht="13.5" thickBot="1">
      <c r="A71" s="1191" t="s">
        <v>1033</v>
      </c>
      <c r="B71" s="1192" t="s">
        <v>1487</v>
      </c>
      <c r="C71" s="381">
        <f ca="1">ROUND(C68*10000/F71,0)</f>
        <v>-14647</v>
      </c>
      <c r="D71" s="1193" t="s">
        <v>1488</v>
      </c>
      <c r="E71" s="1194" t="s">
        <v>1489</v>
      </c>
      <c r="F71" s="384">
        <f ca="1">F43</f>
        <v>5325.9400000000005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417</v>
      </c>
      <c r="D75" s="1842"/>
      <c r="E75" s="1842"/>
      <c r="F75" s="1842"/>
      <c r="K75" s="1868"/>
      <c r="L75" s="1842"/>
      <c r="O75" s="1884" t="s">
        <v>1046</v>
      </c>
      <c r="P75" s="1885" t="s">
        <v>1549</v>
      </c>
      <c r="Q75" s="1886">
        <f ca="1">Q65+Q66</f>
        <v>37581</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0.79</v>
      </c>
    </row>
    <row r="80" spans="1:18">
      <c r="B80" s="385" t="s">
        <v>1511</v>
      </c>
      <c r="C80" s="317">
        <f ca="1">ROUND(C75/C39,3)</f>
        <v>0.21</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5" priority="56">
      <formula>$L$48&gt;$J$51</formula>
    </cfRule>
  </conditionalFormatting>
  <conditionalFormatting sqref="I55 I60">
    <cfRule type="expression" dxfId="114" priority="57">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c r="D1" s="1820"/>
      <c r="E1" s="1821" t="s">
        <v>1387</v>
      </c>
      <c r="F1" s="1284" t="b">
        <f>J53</f>
        <v>0</v>
      </c>
      <c r="G1" s="1836">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3"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3">
        <f ca="1">C6+C10+C12</f>
        <v>0</v>
      </c>
      <c r="D5" s="1822" t="s">
        <v>1601</v>
      </c>
      <c r="E5" s="1294"/>
      <c r="F5" s="1295"/>
      <c r="G5" s="1851"/>
      <c r="H5" s="343">
        <v>1</v>
      </c>
      <c r="I5" s="344" t="s">
        <v>1600</v>
      </c>
      <c r="J5" s="1293">
        <f ca="1">J6+J10+J12</f>
        <v>0</v>
      </c>
      <c r="K5" s="1822" t="s">
        <v>1601</v>
      </c>
      <c r="L5" s="1294"/>
      <c r="M5" s="1295"/>
    </row>
    <row r="6" spans="1:37" ht="18" customHeight="1">
      <c r="A6" s="1292" t="s">
        <v>1035</v>
      </c>
      <c r="B6" s="3243" t="s">
        <v>1403</v>
      </c>
      <c r="C6" s="1297">
        <f ca="1">ROUND(F6*F8*F7*(1-F9),0)</f>
        <v>0</v>
      </c>
      <c r="D6" s="164" t="s">
        <v>3030</v>
      </c>
      <c r="E6" s="346" t="s">
        <v>1405</v>
      </c>
      <c r="F6" s="347">
        <f ca="1">INDIRECT("'数据-取费表'!u"&amp;$G$1)</f>
        <v>0</v>
      </c>
      <c r="G6" s="1851"/>
      <c r="H6" s="1292" t="s">
        <v>1035</v>
      </c>
      <c r="I6" s="3243" t="s">
        <v>1403</v>
      </c>
      <c r="J6" s="345">
        <f ca="1">ROUND(M6*M8*M7*(1-M9),0)</f>
        <v>0</v>
      </c>
      <c r="K6" s="1834" t="s">
        <v>3031</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0</v>
      </c>
      <c r="G7" s="1851"/>
      <c r="H7" s="348"/>
      <c r="I7" s="3244"/>
      <c r="J7" s="350"/>
      <c r="K7" s="351"/>
      <c r="L7" s="346" t="s">
        <v>1406</v>
      </c>
      <c r="M7" s="347">
        <f ca="1">F7</f>
        <v>0</v>
      </c>
    </row>
    <row r="8" spans="1:37" ht="18" customHeight="1">
      <c r="A8" s="348"/>
      <c r="B8" s="3244"/>
      <c r="C8" s="350"/>
      <c r="D8" s="351"/>
      <c r="E8" s="346" t="s">
        <v>1407</v>
      </c>
      <c r="F8" s="347">
        <f ca="1">INDIRECT("'数据-取费表'!ai"&amp;$G$1)</f>
        <v>0</v>
      </c>
      <c r="G8" s="1851"/>
      <c r="H8" s="348"/>
      <c r="I8" s="3244"/>
      <c r="J8" s="350"/>
      <c r="K8" s="351"/>
      <c r="L8" s="346" t="s">
        <v>1407</v>
      </c>
      <c r="M8" s="347">
        <f ca="1">INDIRECT("'数据-取费表'!ai"&amp;$G$1)</f>
        <v>0</v>
      </c>
    </row>
    <row r="9" spans="1:37" ht="18" customHeight="1">
      <c r="A9" s="348"/>
      <c r="B9" s="3245"/>
      <c r="C9" s="350"/>
      <c r="D9" s="351"/>
      <c r="E9" s="346" t="s">
        <v>1408</v>
      </c>
      <c r="F9" s="356">
        <f ca="1">INDIRECT("'数据-取费表'!w"&amp;$G$1)</f>
        <v>0</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0</v>
      </c>
      <c r="D10" s="1824" t="s">
        <v>3041</v>
      </c>
      <c r="E10" s="357" t="s">
        <v>1410</v>
      </c>
      <c r="F10" s="1367"/>
      <c r="G10" s="1851"/>
      <c r="H10" s="1292" t="s">
        <v>1039</v>
      </c>
      <c r="I10" s="1823" t="s">
        <v>1409</v>
      </c>
      <c r="J10" s="345">
        <f ca="1">ROUND(IF(M10="押一",J6/12*M11,IF(M10="押二",J6/12*2*M11,IF(M10="押三",J6/12*3*M11,J11*M11))),0)</f>
        <v>0</v>
      </c>
      <c r="K10" s="1835" t="s">
        <v>3043</v>
      </c>
      <c r="L10" s="357" t="s">
        <v>1410</v>
      </c>
      <c r="M10" s="1367"/>
    </row>
    <row r="11" spans="1:37" ht="18" customHeight="1">
      <c r="A11" s="352"/>
      <c r="B11" s="1825" t="s">
        <v>1602</v>
      </c>
      <c r="C11" s="1179"/>
      <c r="D11" s="351"/>
      <c r="E11" s="357" t="s">
        <v>1412</v>
      </c>
      <c r="F11" s="358">
        <f ca="1">'数据-取费表'!B39</f>
        <v>1.4999999999999999E-2</v>
      </c>
      <c r="G11" s="1851"/>
      <c r="H11" s="1300"/>
      <c r="I11" s="1825" t="s">
        <v>1603</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6" t="s">
        <v>1417</v>
      </c>
      <c r="C14" s="362">
        <f ca="1">ROUND(INDIRECT("'数据-取费表'!l"&amp;$G$1)*F43+'数据-取费表'!L14*INDIRECT("'数据-取费表'!S"&amp;$G$1),0)</f>
        <v>0</v>
      </c>
      <c r="D14" s="1800" t="s">
        <v>1418</v>
      </c>
      <c r="E14" s="1794"/>
      <c r="F14" s="363"/>
      <c r="G14" s="1851"/>
      <c r="H14" s="1202" t="s">
        <v>1035</v>
      </c>
      <c r="I14" s="346" t="s">
        <v>1419</v>
      </c>
      <c r="J14" s="24">
        <f ca="1">C29</f>
        <v>0</v>
      </c>
      <c r="K14" s="15"/>
      <c r="L14" s="980"/>
      <c r="M14" s="981"/>
    </row>
    <row r="15" spans="1:37" s="1858" customFormat="1" ht="18" customHeight="1" thickBot="1">
      <c r="A15" s="1202" t="s">
        <v>1036</v>
      </c>
      <c r="B15" s="346" t="s">
        <v>1420</v>
      </c>
      <c r="C15" s="24">
        <f ca="1">ROUND(C14*F15,0)</f>
        <v>0</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1"/>
      <c r="H16" s="1330" t="s">
        <v>1030</v>
      </c>
      <c r="I16" s="1331" t="s">
        <v>1424</v>
      </c>
      <c r="J16" s="354">
        <f ca="1">ROUND(J17+J22+J23+J24,0)</f>
        <v>0</v>
      </c>
      <c r="K16" s="1338" t="s">
        <v>1425</v>
      </c>
      <c r="L16" s="1339"/>
      <c r="M16" s="1295"/>
    </row>
    <row r="17" spans="1:37" s="1858" customFormat="1" ht="18" customHeight="1">
      <c r="A17" s="1202" t="s">
        <v>1390</v>
      </c>
      <c r="B17" s="346" t="s">
        <v>1426</v>
      </c>
      <c r="C17" s="24">
        <f ca="1">ROUND(F17*(F43+INDIRECT("'数据-取费表'!S"&amp;$G$1)),0)</f>
        <v>0</v>
      </c>
      <c r="D17" s="346" t="s">
        <v>1427</v>
      </c>
      <c r="E17" s="346" t="s">
        <v>1428</v>
      </c>
      <c r="F17" s="26">
        <f>'数据-取费表'!B35</f>
        <v>200</v>
      </c>
      <c r="G17" s="1854"/>
      <c r="H17" s="1202" t="s">
        <v>1035</v>
      </c>
      <c r="I17" s="346" t="s">
        <v>1429</v>
      </c>
      <c r="J17" s="24">
        <f ca="1">ROUND(IF(项目基本情况!B11="自然人",J5*M17,J18+J19+J20),0)</f>
        <v>0</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0</v>
      </c>
      <c r="D18" s="346" t="s">
        <v>1421</v>
      </c>
      <c r="E18" s="346" t="s">
        <v>1422</v>
      </c>
      <c r="F18" s="366">
        <f>'数据-取费表'!B36</f>
        <v>1.4999999999999999E-2</v>
      </c>
      <c r="G18" s="1854"/>
      <c r="H18" s="1202" t="s">
        <v>1034</v>
      </c>
      <c r="I18" s="346" t="s">
        <v>1433</v>
      </c>
      <c r="J18" s="24">
        <f ca="1">ROUND(J5*M18/(1+'数据-取费表'!C42),0)</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0</v>
      </c>
      <c r="D19" s="140" t="s">
        <v>1436</v>
      </c>
      <c r="E19" s="1818"/>
      <c r="F19" s="26"/>
      <c r="G19" s="1851"/>
      <c r="H19" s="1202" t="s">
        <v>1036</v>
      </c>
      <c r="I19" s="346" t="s">
        <v>1437</v>
      </c>
      <c r="J19" s="24">
        <f ca="1">IF(K19="按租金收入计税",ROUND(J5*M19,0),ROUND(C29*M19*0.7,0))</f>
        <v>0</v>
      </c>
      <c r="K19" s="1828" t="s">
        <v>1438</v>
      </c>
      <c r="L19" s="346" t="s">
        <v>1422</v>
      </c>
      <c r="M19" s="366">
        <f>IF(K19="按租金收入计税",'数据-取费表'!B51,'数据-取费表'!B50)</f>
        <v>1.2E-2</v>
      </c>
    </row>
    <row r="20" spans="1:37" s="1858" customFormat="1" ht="18" customHeight="1">
      <c r="A20" s="1202" t="s">
        <v>1039</v>
      </c>
      <c r="B20" s="346" t="s">
        <v>1439</v>
      </c>
      <c r="C20" s="24">
        <f ca="1">ROUND(C19*F20,0)</f>
        <v>0</v>
      </c>
      <c r="D20" s="368" t="s">
        <v>1440</v>
      </c>
      <c r="E20" s="346" t="s">
        <v>1422</v>
      </c>
      <c r="F20" s="366">
        <f>'数据-取费表'!B37</f>
        <v>0.02</v>
      </c>
      <c r="G20" s="1854"/>
      <c r="H20" s="1202" t="s">
        <v>1389</v>
      </c>
      <c r="I20" s="164" t="s">
        <v>1441</v>
      </c>
      <c r="J20" s="25">
        <f ca="1">ROUND(M20*M21,0)</f>
        <v>0</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v>
      </c>
      <c r="D21" s="368" t="s">
        <v>1445</v>
      </c>
      <c r="E21" s="346" t="s">
        <v>1446</v>
      </c>
      <c r="F21" s="366">
        <f>'数据-取费表'!B38</f>
        <v>0.02</v>
      </c>
      <c r="G21" s="1854"/>
      <c r="H21" s="371"/>
      <c r="I21" s="355"/>
      <c r="J21" s="29"/>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8"/>
      <c r="F22" s="26"/>
      <c r="G22" s="1851"/>
      <c r="H22" s="1202" t="s">
        <v>1039</v>
      </c>
      <c r="I22" s="346" t="s">
        <v>1449</v>
      </c>
      <c r="J22" s="24">
        <f ca="1">ROUND(J14*M22,0)</f>
        <v>0</v>
      </c>
      <c r="K22" s="1798" t="s">
        <v>1450</v>
      </c>
      <c r="L22" s="346" t="s">
        <v>1422</v>
      </c>
      <c r="M22" s="373">
        <f ca="1">INDIRECT("'数据-取费表'!Ak"&amp;$G$1)</f>
        <v>0</v>
      </c>
    </row>
    <row r="23" spans="1:37" s="1858"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4"/>
      <c r="D25" s="140" t="s">
        <v>1462</v>
      </c>
      <c r="E25" s="1818"/>
      <c r="F25" s="26"/>
      <c r="G25" s="1851"/>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0</v>
      </c>
      <c r="D30" s="1338" t="s">
        <v>1425</v>
      </c>
      <c r="E30" s="1339"/>
      <c r="F30" s="1295"/>
      <c r="G30" s="1851"/>
      <c r="H30" s="744"/>
      <c r="I30" s="745"/>
      <c r="J30" s="746"/>
      <c r="K30" s="747"/>
      <c r="L30" s="748"/>
      <c r="M30" s="749"/>
    </row>
    <row r="31" spans="1:37" ht="18" customHeight="1">
      <c r="A31" s="1202" t="s">
        <v>1035</v>
      </c>
      <c r="B31" s="346" t="s">
        <v>1429</v>
      </c>
      <c r="C31" s="24">
        <f ca="1">ROUND(IF(项目基本情况!B11="自然人",C5*F31,C32+C33+C34),0)</f>
        <v>0</v>
      </c>
      <c r="D31" s="1800" t="s">
        <v>1430</v>
      </c>
      <c r="E31" s="1798" t="s">
        <v>1481</v>
      </c>
      <c r="F31" s="367">
        <f ca="1">IF(项目基本情况!B11="企业","",IF(INDIRECT("'数据-取费表'!c"&amp;$G$1)="住宅",5%,IF(F6*F7*F8/12/(1+'数据-取费表'!C42)&gt;20000,12%,7%)))</f>
        <v>7.0000000000000007E-2</v>
      </c>
      <c r="G31" s="1851"/>
      <c r="H31" s="744"/>
      <c r="I31" s="745"/>
      <c r="J31" s="746"/>
      <c r="K31" s="747"/>
      <c r="L31" s="748"/>
      <c r="M31" s="749"/>
    </row>
    <row r="32" spans="1:37" ht="18" customHeight="1">
      <c r="A32" s="1202" t="s">
        <v>1034</v>
      </c>
      <c r="B32" s="346" t="s">
        <v>1433</v>
      </c>
      <c r="C32" s="24">
        <f ca="1">IF(项目基本情况!B11="自然人","——",ROUND(C5*F32/(1+'数据-取费表'!C42),0))</f>
        <v>0</v>
      </c>
      <c r="D32" s="1798"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0</v>
      </c>
      <c r="G35" s="1851"/>
      <c r="H35" s="744"/>
      <c r="I35" s="1860"/>
      <c r="J35" s="1861"/>
      <c r="K35" s="1862"/>
      <c r="L35" s="1859"/>
      <c r="M35" s="1859"/>
    </row>
    <row r="36" spans="1:18" ht="18" customHeight="1">
      <c r="A36" s="1353" t="s">
        <v>1039</v>
      </c>
      <c r="B36" s="346" t="s">
        <v>1449</v>
      </c>
      <c r="C36" s="24">
        <f ca="1">ROUND(C29*F36,0)</f>
        <v>0</v>
      </c>
      <c r="D36" s="1798" t="s">
        <v>1482</v>
      </c>
      <c r="E36" s="346" t="s">
        <v>1422</v>
      </c>
      <c r="F36" s="373">
        <f ca="1">INDIRECT("'数据-取费表'!Ak"&amp;$G$1)</f>
        <v>0</v>
      </c>
      <c r="G36" s="1851"/>
      <c r="H36" s="1859"/>
      <c r="I36" s="1860"/>
      <c r="J36" s="1861"/>
      <c r="K36" s="750"/>
      <c r="L36" s="1859"/>
      <c r="M36" s="1859"/>
    </row>
    <row r="37" spans="1:18" ht="18" customHeight="1">
      <c r="A37" s="1202" t="s">
        <v>1075</v>
      </c>
      <c r="B37" s="346" t="s">
        <v>1453</v>
      </c>
      <c r="C37" s="24">
        <f ca="1">ROUND(C13*F37,0)</f>
        <v>0</v>
      </c>
      <c r="D37" s="1798" t="s">
        <v>1454</v>
      </c>
      <c r="E37" s="346" t="s">
        <v>1455</v>
      </c>
      <c r="F37" s="375">
        <f ca="1">INDIRECT("'数据-取费表'!Al"&amp;$G$1)</f>
        <v>0</v>
      </c>
      <c r="G37" s="1851"/>
      <c r="H37" s="1859"/>
      <c r="I37" s="1860"/>
      <c r="J37" s="1861"/>
      <c r="K37" s="750"/>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4">
        <f ca="1">C5-C30</f>
        <v>0</v>
      </c>
      <c r="D39" s="1346" t="s">
        <v>1484</v>
      </c>
      <c r="E39" s="1347"/>
      <c r="F39" s="1348"/>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1477</v>
      </c>
      <c r="F42" s="356">
        <f ca="1">INDIRECT("'数据-取费表'!v"&amp;$G$1)</f>
        <v>0</v>
      </c>
      <c r="G42" s="1851"/>
      <c r="H42" s="731"/>
      <c r="I42" s="1860"/>
      <c r="J42" s="1861"/>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1"/>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4" t="s">
        <v>1401</v>
      </c>
      <c r="C48" s="1817">
        <f ca="1">C49+C53+C55</f>
        <v>0</v>
      </c>
      <c r="D48" s="1363"/>
      <c r="E48" s="1364"/>
      <c r="F48" s="1182"/>
      <c r="G48" s="791"/>
      <c r="H48" s="792"/>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2"/>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2"/>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8" t="s">
        <v>1409</v>
      </c>
      <c r="C53" s="360">
        <f ca="1">ROUND(IF(F53="押一",C49/12*F11,IF(F53="押二",C49/12*2*F11,IF(F53="押三",C49/12*3*F11,C54*F11))),0)</f>
        <v>0</v>
      </c>
      <c r="D53" s="1824" t="s">
        <v>3044</v>
      </c>
      <c r="E53" s="357"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41" t="s">
        <v>1548</v>
      </c>
      <c r="L53" s="3242"/>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8" t="s">
        <v>1424</v>
      </c>
      <c r="C58" s="360">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7">
        <f ca="1">IF(项目基本情况!B11="企业","",IF(INDIRECT("'数据-取费表'!c"&amp;$G$1)="住宅",5%,IF(F49*F50*F51/12/(1+'数据-取费表'!C42)&gt;20000,12%,7%)))</f>
        <v>7.0000000000000007E-2</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6">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0">
        <f t="shared" si="0"/>
        <v>24</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6"/>
      <c r="C63" s="29"/>
      <c r="D63" s="1186"/>
      <c r="E63" s="1170"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6">
        <f t="shared" ca="1" si="0"/>
        <v>0</v>
      </c>
      <c r="O66" s="1884" t="s">
        <v>1041</v>
      </c>
      <c r="P66" s="1885" t="s">
        <v>1558</v>
      </c>
      <c r="Q66" s="1886" t="e">
        <f ca="1">L60</f>
        <v>#DIV/0!</v>
      </c>
      <c r="R66" s="1886" t="s">
        <v>1581</v>
      </c>
    </row>
    <row r="67" spans="1:18" s="1842" customFormat="1" ht="16.5" thickBot="1">
      <c r="A67" s="1177" t="s">
        <v>1031</v>
      </c>
      <c r="B67" s="1187" t="s">
        <v>1463</v>
      </c>
      <c r="C67" s="360">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5" t="e">
        <f ca="1">ROUND(C67*(1-((1+F70)/(1+F68))^F69)/(F68-F70),0)</f>
        <v>#DIV/0!</v>
      </c>
      <c r="D68" s="1185" t="s">
        <v>1469</v>
      </c>
      <c r="E68" s="1170" t="s">
        <v>1470</v>
      </c>
      <c r="F68" s="356">
        <f ca="1">F40</f>
        <v>0</v>
      </c>
      <c r="O68" s="1894" t="s">
        <v>1043</v>
      </c>
      <c r="P68" s="1934" t="s">
        <v>1583</v>
      </c>
      <c r="Q68" s="1886">
        <f ca="1">ROUND(Q69-Q70*Q71,0)</f>
        <v>0</v>
      </c>
      <c r="R68" s="1886" t="s">
        <v>1051</v>
      </c>
    </row>
    <row r="69" spans="1:18" s="1842" customFormat="1" ht="13.5" thickBot="1">
      <c r="A69" s="1171"/>
      <c r="B69" s="1172"/>
      <c r="C69" s="350"/>
      <c r="D69" s="1190" t="s">
        <v>1473</v>
      </c>
      <c r="E69" s="1170" t="s">
        <v>1474</v>
      </c>
      <c r="F69" s="378">
        <f ca="1">F41</f>
        <v>0</v>
      </c>
      <c r="O69" s="1894" t="s">
        <v>1048</v>
      </c>
      <c r="P69" s="1934" t="s">
        <v>1584</v>
      </c>
      <c r="Q69" s="1886">
        <f ca="1">C39</f>
        <v>0</v>
      </c>
      <c r="R69" s="1886" t="s">
        <v>1529</v>
      </c>
    </row>
    <row r="70" spans="1:18" s="1842" customFormat="1" ht="13.5" thickBot="1">
      <c r="A70" s="1174"/>
      <c r="B70" s="1175"/>
      <c r="C70" s="354"/>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1" t="e">
        <f ca="1">ROUND(C68/F71,0)</f>
        <v>#DIV/0!</v>
      </c>
      <c r="D71" s="1193" t="s">
        <v>1488</v>
      </c>
      <c r="E71" s="1194" t="s">
        <v>1489</v>
      </c>
      <c r="F71" s="384">
        <f ca="1">F43</f>
        <v>0</v>
      </c>
      <c r="O71" s="1894" t="s">
        <v>1050</v>
      </c>
      <c r="P71" s="1934" t="s">
        <v>1586</v>
      </c>
      <c r="Q71" s="1897">
        <f ca="1">C76</f>
        <v>0</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兴业银行股份有限公司安华支行：</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估价对象为北京市房地产，为所有。根据《国有土地使用证》[]，估价对象（分摊）出让国有建设用地使用权面积为14707平方米，建筑面积为166180.56平方米。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14707平方米，规划建筑面积为166180.56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2019年1月3日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5" zoomScaleNormal="85"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3084</v>
      </c>
      <c r="D1" s="1820" t="s">
        <v>70</v>
      </c>
      <c r="E1" s="1821" t="s">
        <v>1387</v>
      </c>
      <c r="F1" s="1284">
        <f ca="1">J53</f>
        <v>32.369999999999997</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78551</v>
      </c>
      <c r="C2" s="1845" t="s">
        <v>1516</v>
      </c>
      <c r="D2" s="1845"/>
      <c r="E2" s="1846"/>
      <c r="F2" s="1847"/>
      <c r="G2" s="1848"/>
      <c r="H2" s="1840"/>
      <c r="I2" s="1840"/>
      <c r="J2" s="1840"/>
      <c r="K2" s="1841"/>
      <c r="L2" s="1840"/>
      <c r="M2" s="1840"/>
    </row>
    <row r="3" spans="1:37" ht="18" customHeight="1" thickBot="1">
      <c r="A3" s="1849" t="s">
        <v>1517</v>
      </c>
      <c r="B3" s="1850">
        <f ca="1">IF(ISERROR(B2*10000/F43),0,ROUND(B2*10000/F43,0))</f>
        <v>24616</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5877</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5870</v>
      </c>
      <c r="D6" s="164" t="s">
        <v>3033</v>
      </c>
      <c r="E6" s="346" t="s">
        <v>1405</v>
      </c>
      <c r="F6" s="347">
        <f ca="1">INDIRECT("'数据-取费表'!u"&amp;$G$1)</f>
        <v>5.6000000000000005</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31910.54</v>
      </c>
      <c r="G7" s="1851"/>
      <c r="H7" s="348"/>
      <c r="I7" s="3244"/>
      <c r="J7" s="350"/>
      <c r="K7" s="351"/>
      <c r="L7" s="346" t="s">
        <v>1406</v>
      </c>
      <c r="M7" s="347">
        <f ca="1">F7</f>
        <v>31910.54</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7</v>
      </c>
      <c r="D10" s="1824" t="s">
        <v>3041</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15821</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12839</v>
      </c>
      <c r="D14" s="2950" t="s">
        <v>1418</v>
      </c>
      <c r="E14" s="2949"/>
      <c r="F14" s="363"/>
      <c r="G14" s="1851"/>
      <c r="H14" s="1202" t="s">
        <v>1035</v>
      </c>
      <c r="I14" s="346" t="s">
        <v>1419</v>
      </c>
      <c r="J14" s="24">
        <f ca="1">C29</f>
        <v>18613</v>
      </c>
      <c r="K14" s="2946"/>
      <c r="L14" s="980"/>
      <c r="M14" s="981"/>
    </row>
    <row r="15" spans="1:37" s="1858" customFormat="1" ht="18" customHeight="1" thickBot="1">
      <c r="A15" s="1202" t="s">
        <v>1036</v>
      </c>
      <c r="B15" s="346" t="s">
        <v>1420</v>
      </c>
      <c r="C15" s="24">
        <f ca="1">ROUND(C14*F15,0)</f>
        <v>385</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442</v>
      </c>
      <c r="K16" s="1338" t="s">
        <v>1425</v>
      </c>
      <c r="L16" s="2952"/>
      <c r="M16" s="1295"/>
    </row>
    <row r="17" spans="1:37" s="1858" customFormat="1" ht="18" customHeight="1">
      <c r="A17" s="1202" t="s">
        <v>1390</v>
      </c>
      <c r="B17" s="346" t="s">
        <v>1426</v>
      </c>
      <c r="C17" s="24">
        <f ca="1">ROUND(F17*(F43+INDIRECT("'数据-取费表'!S"&amp;$G$1))/10000,0)</f>
        <v>644</v>
      </c>
      <c r="D17" s="346" t="s">
        <v>1427</v>
      </c>
      <c r="E17" s="346" t="s">
        <v>1428</v>
      </c>
      <c r="F17" s="26">
        <f>'数据-取费表'!B35</f>
        <v>200</v>
      </c>
      <c r="G17" s="1854"/>
      <c r="H17" s="1202" t="s">
        <v>1035</v>
      </c>
      <c r="I17" s="346" t="s">
        <v>1429</v>
      </c>
      <c r="J17" s="24">
        <f ca="1">ROUND(IF(项目基本情况!B11="自然人",J5*M17,J18+J19+J20),1)</f>
        <v>163.19999999999999</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193</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14061</v>
      </c>
      <c r="D19" s="140" t="s">
        <v>1436</v>
      </c>
      <c r="E19" s="2945"/>
      <c r="F19" s="26"/>
      <c r="G19" s="1851"/>
      <c r="H19" s="1202" t="s">
        <v>1036</v>
      </c>
      <c r="I19" s="346" t="s">
        <v>1437</v>
      </c>
      <c r="J19" s="24">
        <f ca="1">IF(K19="按租金收入计税",ROUND(J5*M19,2),ROUND(C29*M19*0.7,2))</f>
        <v>156.35</v>
      </c>
      <c r="K19" s="1828" t="s">
        <v>1438</v>
      </c>
      <c r="L19" s="346" t="s">
        <v>1422</v>
      </c>
      <c r="M19" s="366">
        <f>IF(K19="按租金收入计税",'数据-取费表'!B51,'数据-取费表'!B50)</f>
        <v>1.2E-2</v>
      </c>
    </row>
    <row r="20" spans="1:37" s="1858" customFormat="1" ht="18" customHeight="1">
      <c r="A20" s="1202" t="s">
        <v>1039</v>
      </c>
      <c r="B20" s="346" t="s">
        <v>1439</v>
      </c>
      <c r="C20" s="24">
        <f ca="1">ROUND(C19*F20,0)</f>
        <v>281</v>
      </c>
      <c r="D20" s="368" t="s">
        <v>1440</v>
      </c>
      <c r="E20" s="346" t="s">
        <v>1422</v>
      </c>
      <c r="F20" s="366">
        <f>'数据-取费表'!B37</f>
        <v>0.02</v>
      </c>
      <c r="G20" s="1854"/>
      <c r="H20" s="1202" t="s">
        <v>1389</v>
      </c>
      <c r="I20" s="164" t="s">
        <v>1441</v>
      </c>
      <c r="J20" s="25">
        <f ca="1">ROUND(M20*M21/10000,2)</f>
        <v>6.84</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2850.6600000000003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279.2</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681</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-442</v>
      </c>
      <c r="K25" s="1346" t="s">
        <v>1464</v>
      </c>
      <c r="L25" s="1347"/>
      <c r="M25" s="1348"/>
    </row>
    <row r="26" spans="1:37">
      <c r="A26" s="1202" t="s">
        <v>1034</v>
      </c>
      <c r="B26" s="346" t="s">
        <v>1465</v>
      </c>
      <c r="C26" s="24">
        <f ca="1">ROUND((C19+C20)*F26,0)</f>
        <v>2151</v>
      </c>
      <c r="D26" s="368" t="s">
        <v>1466</v>
      </c>
      <c r="E26" s="357" t="s">
        <v>1467</v>
      </c>
      <c r="F26" s="356">
        <f ca="1">INDIRECT("'数据-取费表'!q"&amp;$G$1)</f>
        <v>0.15</v>
      </c>
      <c r="G26" s="1851"/>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3.0000000000000001E-3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18613</v>
      </c>
      <c r="D29" s="1343"/>
      <c r="E29" s="1341"/>
      <c r="F29" s="1344"/>
      <c r="G29" s="1854"/>
      <c r="H29" s="379" t="s">
        <v>1033</v>
      </c>
      <c r="I29" s="380" t="s">
        <v>1479</v>
      </c>
      <c r="J29" s="381">
        <f ca="1">ROUND(J26/(1+F40)^F41,0)</f>
        <v>0</v>
      </c>
      <c r="K29" s="382" t="s">
        <v>1480</v>
      </c>
      <c r="L29" s="383"/>
      <c r="M29" s="384">
        <f ca="1">INDIRECT("'数据-取费表'!k"&amp;$G$1)</f>
        <v>31910.54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1454</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1025.5</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313.44</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705.24</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6.84</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2850.6600000000003</v>
      </c>
      <c r="G35" s="1851"/>
      <c r="H35" s="744"/>
      <c r="I35" s="1860"/>
      <c r="J35" s="1861"/>
      <c r="K35" s="1862"/>
      <c r="L35" s="1859"/>
      <c r="M35" s="1859"/>
    </row>
    <row r="36" spans="1:18" ht="18" customHeight="1">
      <c r="A36" s="1353" t="s">
        <v>1039</v>
      </c>
      <c r="B36" s="346" t="s">
        <v>1449</v>
      </c>
      <c r="C36" s="24">
        <f ca="1">ROUND(C29*F36,1)</f>
        <v>279.2</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31.6</v>
      </c>
      <c r="D37" s="2951" t="s">
        <v>1454</v>
      </c>
      <c r="E37" s="346" t="s">
        <v>1422</v>
      </c>
      <c r="F37" s="375">
        <f ca="1">INDIRECT("'数据-取费表'!Al"&amp;$G$1)</f>
        <v>2E-3</v>
      </c>
      <c r="G37" s="1851"/>
      <c r="H37" s="1859"/>
      <c r="I37" s="1860"/>
      <c r="J37" s="1861"/>
      <c r="K37" s="750"/>
      <c r="L37" s="1859"/>
      <c r="M37" s="1859"/>
    </row>
    <row r="38" spans="1:18" ht="18" customHeight="1" thickBot="1">
      <c r="A38" s="1340" t="s">
        <v>1392</v>
      </c>
      <c r="B38" s="1341" t="s">
        <v>1439</v>
      </c>
      <c r="C38" s="1342">
        <f ca="1">ROUND(C5*F38,1)</f>
        <v>117.5</v>
      </c>
      <c r="D38" s="1343" t="s">
        <v>1459</v>
      </c>
      <c r="E38" s="1341" t="s">
        <v>1422</v>
      </c>
      <c r="F38" s="1337">
        <f ca="1">INDIRECT("'数据-取费表'!Am"&amp;$G$1)</f>
        <v>0.02</v>
      </c>
      <c r="G38" s="1851"/>
      <c r="H38" s="1859"/>
      <c r="I38" s="1860"/>
      <c r="J38" s="1861"/>
      <c r="K38" s="1865"/>
      <c r="L38" s="1859"/>
      <c r="M38" s="1859"/>
    </row>
    <row r="39" spans="1:18" ht="24.6" customHeight="1" thickTop="1">
      <c r="A39" s="1330" t="s">
        <v>1031</v>
      </c>
      <c r="B39" s="1345" t="s">
        <v>1463</v>
      </c>
      <c r="C39" s="354">
        <f ca="1">C5-C30</f>
        <v>4423</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78551</v>
      </c>
      <c r="D40" s="369" t="s">
        <v>1469</v>
      </c>
      <c r="E40" s="346" t="s">
        <v>1470</v>
      </c>
      <c r="F40" s="356">
        <f ca="1">INDIRECT("'数据-取费表'!I"&amp;$G$1)</f>
        <v>6.5000000000000002E-2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2.5000000000000001E-2</v>
      </c>
      <c r="G42" s="1851"/>
      <c r="H42" s="731"/>
      <c r="I42" s="1860"/>
      <c r="J42" s="1861"/>
      <c r="K42" s="750"/>
      <c r="L42" s="731"/>
      <c r="M42" s="731"/>
    </row>
    <row r="43" spans="1:18" ht="18" customHeight="1" thickBot="1">
      <c r="A43" s="379" t="s">
        <v>1033</v>
      </c>
      <c r="B43" s="380" t="s">
        <v>1487</v>
      </c>
      <c r="C43" s="381">
        <f ca="1">ROUND(C40*10000/F43,0)</f>
        <v>24616</v>
      </c>
      <c r="D43" s="382" t="s">
        <v>1488</v>
      </c>
      <c r="E43" s="383" t="s">
        <v>1489</v>
      </c>
      <c r="F43" s="384">
        <f ca="1">INDIRECT("'数据-取费表'!k"&amp;$G$1)</f>
        <v>31910.54</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-103721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78551</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18613</v>
      </c>
      <c r="R49" s="1886" t="s">
        <v>1529</v>
      </c>
    </row>
    <row r="50" spans="1:18" s="1842" customFormat="1" ht="13.5" thickBot="1">
      <c r="A50" s="1196"/>
      <c r="B50" s="1199"/>
      <c r="C50" s="1369"/>
      <c r="D50" s="1173"/>
      <c r="E50" s="1278" t="s">
        <v>1406</v>
      </c>
      <c r="F50" s="1279">
        <f ca="1">F7</f>
        <v>31910.54</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48875</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78551</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15821</v>
      </c>
      <c r="D56" s="1914"/>
      <c r="E56" s="1915"/>
      <c r="F56" s="1907"/>
      <c r="I56" s="1916" t="s">
        <v>1554</v>
      </c>
      <c r="J56" s="1917" t="s">
        <v>3060</v>
      </c>
      <c r="K56" s="1887" t="s">
        <v>1555</v>
      </c>
      <c r="L56" s="1890" t="str">
        <f ca="1">IF(L48&lt;J51,"——",L48-J53)</f>
        <v>——</v>
      </c>
      <c r="O56" s="1884" t="s">
        <v>1040</v>
      </c>
      <c r="P56" s="1885" t="s">
        <v>1528</v>
      </c>
      <c r="Q56" s="1886">
        <f ca="1">C40+J29</f>
        <v>78551</v>
      </c>
      <c r="R56" s="1886" t="s">
        <v>1529</v>
      </c>
    </row>
    <row r="57" spans="1:18" s="1842" customFormat="1" ht="24.75" thickBot="1">
      <c r="A57" s="1918"/>
      <c r="B57" s="1170" t="s">
        <v>1478</v>
      </c>
      <c r="C57" s="281">
        <f ca="1">C29</f>
        <v>18613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1881</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1570.3</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1563.49</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6.84</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78551</v>
      </c>
      <c r="R62" s="1886" t="s">
        <v>1047</v>
      </c>
    </row>
    <row r="63" spans="1:18" s="1842" customFormat="1" ht="13.5" thickBot="1">
      <c r="A63" s="371"/>
      <c r="B63" s="1176"/>
      <c r="C63" s="29"/>
      <c r="D63" s="1186"/>
      <c r="E63" s="1170" t="s">
        <v>1447</v>
      </c>
      <c r="F63" s="347">
        <f t="shared" ca="1" si="0"/>
        <v>2850.6600000000003</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279.2</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31.6</v>
      </c>
      <c r="D65" s="1184" t="s">
        <v>1454</v>
      </c>
      <c r="E65" s="1170" t="s">
        <v>1422</v>
      </c>
      <c r="F65" s="375">
        <f t="shared" ca="1" si="0"/>
        <v>2E-3</v>
      </c>
      <c r="I65" s="1929" t="s">
        <v>1579</v>
      </c>
      <c r="J65" s="1930">
        <v>40</v>
      </c>
      <c r="K65" s="1930">
        <v>30</v>
      </c>
      <c r="L65" s="1930">
        <v>50</v>
      </c>
      <c r="M65" s="1932">
        <v>0.02</v>
      </c>
      <c r="O65" s="1884" t="s">
        <v>1040</v>
      </c>
      <c r="P65" s="1885" t="s">
        <v>1528</v>
      </c>
      <c r="Q65" s="1886">
        <f ca="1">C40+J29</f>
        <v>78551</v>
      </c>
      <c r="R65" s="1886" t="s">
        <v>1529</v>
      </c>
    </row>
    <row r="66" spans="1:18" s="1842" customFormat="1" ht="16.5" thickBot="1">
      <c r="A66" s="1202" t="s">
        <v>1504</v>
      </c>
      <c r="B66" s="1170" t="s">
        <v>1439</v>
      </c>
      <c r="C66" s="24">
        <f ca="1">ROUND(C48*F66,1)</f>
        <v>0</v>
      </c>
      <c r="D66" s="1184" t="s">
        <v>1459</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-1881</v>
      </c>
      <c r="D67" s="1183" t="s">
        <v>1464</v>
      </c>
      <c r="E67" s="1188"/>
      <c r="F67" s="1189"/>
      <c r="O67" s="1894" t="s">
        <v>1042</v>
      </c>
      <c r="P67" s="1885" t="s">
        <v>1562</v>
      </c>
      <c r="Q67" s="1933">
        <f ca="1">L51</f>
        <v>48875</v>
      </c>
      <c r="R67" s="1886" t="s">
        <v>1582</v>
      </c>
    </row>
    <row r="68" spans="1:18" s="1842" customFormat="1" ht="16.5" thickBot="1">
      <c r="A68" s="1167" t="s">
        <v>1032</v>
      </c>
      <c r="B68" s="1168" t="s">
        <v>1485</v>
      </c>
      <c r="C68" s="345">
        <f ca="1">ROUND(C67*(1-((1+F70)/(1+F68))^F69)/(F68-F70),0)</f>
        <v>-25170</v>
      </c>
      <c r="D68" s="1185" t="s">
        <v>1469</v>
      </c>
      <c r="E68" s="1170" t="s">
        <v>1470</v>
      </c>
      <c r="F68" s="356">
        <f ca="1">F40</f>
        <v>6.5000000000000002E-2</v>
      </c>
      <c r="O68" s="1894" t="s">
        <v>1043</v>
      </c>
      <c r="P68" s="1934" t="s">
        <v>1583</v>
      </c>
      <c r="Q68" s="1886">
        <f ca="1">ROUND(Q69-Q70*Q71,0)</f>
        <v>3078</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4423</v>
      </c>
      <c r="R69" s="1886" t="s">
        <v>1529</v>
      </c>
    </row>
    <row r="70" spans="1:18" s="1842" customFormat="1" ht="13.5" thickBot="1">
      <c r="A70" s="1174"/>
      <c r="B70" s="1175"/>
      <c r="C70" s="354"/>
      <c r="D70" s="1186"/>
      <c r="E70" s="1170" t="s">
        <v>1477</v>
      </c>
      <c r="F70" s="1276"/>
      <c r="O70" s="1894" t="s">
        <v>1049</v>
      </c>
      <c r="P70" s="1934" t="s">
        <v>1585</v>
      </c>
      <c r="Q70" s="1886">
        <f ca="1">C13</f>
        <v>15821</v>
      </c>
      <c r="R70" s="1886" t="s">
        <v>1529</v>
      </c>
    </row>
    <row r="71" spans="1:18" s="1842" customFormat="1" ht="13.5" thickBot="1">
      <c r="A71" s="1191" t="s">
        <v>1033</v>
      </c>
      <c r="B71" s="1192" t="s">
        <v>1487</v>
      </c>
      <c r="C71" s="381">
        <f ca="1">ROUND(C68*10000/F71,0)</f>
        <v>-7888</v>
      </c>
      <c r="D71" s="1193" t="s">
        <v>1488</v>
      </c>
      <c r="E71" s="1194" t="s">
        <v>1489</v>
      </c>
      <c r="F71" s="384">
        <f ca="1">F43</f>
        <v>31910.54</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1345</v>
      </c>
      <c r="D75" s="1842"/>
      <c r="E75" s="1842"/>
      <c r="F75" s="1842"/>
      <c r="K75" s="1868"/>
      <c r="L75" s="1842"/>
      <c r="O75" s="1884" t="s">
        <v>1046</v>
      </c>
      <c r="P75" s="1885" t="s">
        <v>1549</v>
      </c>
      <c r="Q75" s="1886">
        <f ca="1">Q65+Q66</f>
        <v>78551</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0.69599999999999995</v>
      </c>
    </row>
    <row r="80" spans="1:18">
      <c r="B80" s="385" t="s">
        <v>1511</v>
      </c>
      <c r="C80" s="317">
        <f ca="1">ROUND(C75/C39,3)</f>
        <v>0.30399999999999999</v>
      </c>
    </row>
    <row r="81" spans="2:3">
      <c r="B81" s="313" t="s">
        <v>1512</v>
      </c>
      <c r="C81" s="281"/>
    </row>
    <row r="82" spans="2:3">
      <c r="B82" s="316" t="s">
        <v>1513</v>
      </c>
      <c r="C82" s="318">
        <f ca="1">1-C83</f>
        <v>0.79899999999999993</v>
      </c>
    </row>
    <row r="83" spans="2:3">
      <c r="B83" s="316" t="s">
        <v>1514</v>
      </c>
      <c r="C83" s="317">
        <f ca="1">ROUND(C13/C40,3)</f>
        <v>0.20100000000000001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5" zoomScaleNormal="85" zoomScaleSheetLayoutView="90" workbookViewId="0">
      <selection activeCell="C14" sqref="C14:C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27</v>
      </c>
      <c r="D1" s="1820" t="s">
        <v>70</v>
      </c>
      <c r="E1" s="1821" t="s">
        <v>1387</v>
      </c>
      <c r="F1" s="1284">
        <f ca="1">J53</f>
        <v>32.369999999999997</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628024</v>
      </c>
      <c r="C2" s="1845" t="s">
        <v>1516</v>
      </c>
      <c r="D2" s="1845"/>
      <c r="E2" s="1846"/>
      <c r="F2" s="1847"/>
      <c r="G2" s="1848"/>
      <c r="H2" s="1840"/>
      <c r="I2" s="1840"/>
      <c r="J2" s="1840"/>
      <c r="K2" s="1841"/>
      <c r="L2" s="1840"/>
      <c r="M2" s="1840"/>
    </row>
    <row r="3" spans="1:37" ht="18" customHeight="1" thickBot="1">
      <c r="A3" s="1849" t="s">
        <v>1517</v>
      </c>
      <c r="B3" s="1850">
        <f ca="1">IF(ISERROR(B2*10000/F43),0,ROUND(B2*10000/F43,0))</f>
        <v>66029</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40669</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40618</v>
      </c>
      <c r="D6" s="164" t="s">
        <v>3033</v>
      </c>
      <c r="E6" s="346" t="s">
        <v>1405</v>
      </c>
      <c r="F6" s="347">
        <f ca="1">INDIRECT("'数据-取费表'!u"&amp;$G$1)</f>
        <v>13</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95113.260000000009</v>
      </c>
      <c r="G7" s="1851"/>
      <c r="H7" s="348"/>
      <c r="I7" s="3244"/>
      <c r="J7" s="350"/>
      <c r="K7" s="351"/>
      <c r="L7" s="346" t="s">
        <v>1406</v>
      </c>
      <c r="M7" s="347">
        <f ca="1">F7</f>
        <v>95113.260000000009</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51</v>
      </c>
      <c r="D10" s="1824" t="s">
        <v>3041</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84172</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66803</v>
      </c>
      <c r="D14" s="2950" t="s">
        <v>1418</v>
      </c>
      <c r="E14" s="2949"/>
      <c r="F14" s="363"/>
      <c r="G14" s="1851"/>
      <c r="H14" s="1202" t="s">
        <v>1035</v>
      </c>
      <c r="I14" s="346" t="s">
        <v>1419</v>
      </c>
      <c r="J14" s="24">
        <f ca="1">C29</f>
        <v>99026</v>
      </c>
      <c r="K14" s="2946"/>
      <c r="L14" s="980"/>
      <c r="M14" s="981"/>
    </row>
    <row r="15" spans="1:37" s="1858" customFormat="1" ht="18" customHeight="1" thickBot="1">
      <c r="A15" s="1202" t="s">
        <v>1036</v>
      </c>
      <c r="B15" s="346" t="s">
        <v>1420</v>
      </c>
      <c r="C15" s="24">
        <f ca="1">ROUND(C14*F15,0)</f>
        <v>2004</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2338</v>
      </c>
      <c r="K16" s="1338" t="s">
        <v>1425</v>
      </c>
      <c r="L16" s="2952"/>
      <c r="M16" s="1295"/>
    </row>
    <row r="17" spans="1:37" s="1858" customFormat="1" ht="18" customHeight="1">
      <c r="A17" s="1202" t="s">
        <v>1390</v>
      </c>
      <c r="B17" s="346" t="s">
        <v>1426</v>
      </c>
      <c r="C17" s="24">
        <f ca="1">ROUND(F17*(F43+INDIRECT("'数据-取费表'!S"&amp;$G$1))/10000,0)</f>
        <v>1920</v>
      </c>
      <c r="D17" s="346" t="s">
        <v>1427</v>
      </c>
      <c r="E17" s="346" t="s">
        <v>1428</v>
      </c>
      <c r="F17" s="26">
        <f>'数据-取费表'!B35</f>
        <v>200</v>
      </c>
      <c r="G17" s="1854"/>
      <c r="H17" s="1202" t="s">
        <v>1035</v>
      </c>
      <c r="I17" s="346" t="s">
        <v>1429</v>
      </c>
      <c r="J17" s="24">
        <f ca="1">ROUND(IF(项目基本情况!B11="自然人",J5*M17,J18+J19+J20),1)</f>
        <v>852.2</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1002</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71729</v>
      </c>
      <c r="D19" s="140" t="s">
        <v>1436</v>
      </c>
      <c r="E19" s="2945"/>
      <c r="F19" s="26"/>
      <c r="G19" s="1851"/>
      <c r="H19" s="1202" t="s">
        <v>1036</v>
      </c>
      <c r="I19" s="346" t="s">
        <v>1437</v>
      </c>
      <c r="J19" s="24">
        <f ca="1">IF(K19="按租金收入计税",ROUND(J5*M19,2),ROUND(C29*M19*0.7,2))</f>
        <v>831.82</v>
      </c>
      <c r="K19" s="1828" t="s">
        <v>1438</v>
      </c>
      <c r="L19" s="346" t="s">
        <v>1422</v>
      </c>
      <c r="M19" s="366">
        <f>IF(K19="按租金收入计税",'数据-取费表'!B51,'数据-取费表'!B50)</f>
        <v>1.2E-2</v>
      </c>
    </row>
    <row r="20" spans="1:37" s="1858" customFormat="1" ht="18" customHeight="1">
      <c r="A20" s="1202" t="s">
        <v>1039</v>
      </c>
      <c r="B20" s="346" t="s">
        <v>1439</v>
      </c>
      <c r="C20" s="24">
        <f ca="1">ROUND(C19*F20,0)</f>
        <v>1435</v>
      </c>
      <c r="D20" s="368" t="s">
        <v>1440</v>
      </c>
      <c r="E20" s="346" t="s">
        <v>1422</v>
      </c>
      <c r="F20" s="366">
        <f>'数据-取费表'!B37</f>
        <v>0.02</v>
      </c>
      <c r="G20" s="1854"/>
      <c r="H20" s="1202" t="s">
        <v>1389</v>
      </c>
      <c r="I20" s="164" t="s">
        <v>1441</v>
      </c>
      <c r="J20" s="25">
        <f ca="1">ROUND(M20*M21/10000,2)</f>
        <v>20.39</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8496.75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1485.4</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3475</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-2338</v>
      </c>
      <c r="K25" s="1346" t="s">
        <v>1464</v>
      </c>
      <c r="L25" s="1347"/>
      <c r="M25" s="1348"/>
    </row>
    <row r="26" spans="1:37">
      <c r="A26" s="1202" t="s">
        <v>1034</v>
      </c>
      <c r="B26" s="346" t="s">
        <v>1465</v>
      </c>
      <c r="C26" s="24">
        <f ca="1">ROUND((C19+C20)*F26,0)</f>
        <v>14633</v>
      </c>
      <c r="D26" s="368" t="s">
        <v>1466</v>
      </c>
      <c r="E26" s="357" t="s">
        <v>1467</v>
      </c>
      <c r="F26" s="356">
        <f ca="1">INDIRECT("'数据-取费表'!q"&amp;$G$1)</f>
        <v>0.2</v>
      </c>
      <c r="G26" s="1851"/>
      <c r="H26" s="343" t="s">
        <v>1032</v>
      </c>
      <c r="I26" s="344" t="s">
        <v>1468</v>
      </c>
      <c r="J26" s="345">
        <f ca="1">IF(J5&lt;&gt;0,ROUND(J25*(1-((1+M28)/(1+M26))^M27)/(M26-M28),0),0)</f>
        <v>0</v>
      </c>
      <c r="K26" s="369" t="s">
        <v>1469</v>
      </c>
      <c r="L26" s="346" t="s">
        <v>1470</v>
      </c>
      <c r="M26" s="356">
        <f ca="1">INDIRECT("'数据-取费表'!I"&amp;$G$1)</f>
        <v>0.06</v>
      </c>
    </row>
    <row r="27" spans="1:37" ht="18" customHeight="1">
      <c r="A27" s="1202" t="s">
        <v>1036</v>
      </c>
      <c r="B27" s="346" t="s">
        <v>1471</v>
      </c>
      <c r="C27" s="24">
        <f ca="1">ROUND(F21*F26,4)</f>
        <v>4.0000000000000001E-3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99026</v>
      </c>
      <c r="D29" s="1343"/>
      <c r="E29" s="1341"/>
      <c r="F29" s="1344"/>
      <c r="G29" s="1854"/>
      <c r="H29" s="379" t="s">
        <v>1033</v>
      </c>
      <c r="I29" s="380" t="s">
        <v>1479</v>
      </c>
      <c r="J29" s="381">
        <f ca="1">ROUND(J26/(1+F40)^F41,0)</f>
        <v>0</v>
      </c>
      <c r="K29" s="382" t="s">
        <v>1480</v>
      </c>
      <c r="L29" s="383"/>
      <c r="M29" s="384">
        <f ca="1">INDIRECT("'数据-取费表'!k"&amp;$G$1)</f>
        <v>95113.260000000009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9537</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7069.7</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2169.0100000000002</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4880.28</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20.39</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8496.75</v>
      </c>
      <c r="G35" s="1851"/>
      <c r="H35" s="744"/>
      <c r="I35" s="1860"/>
      <c r="J35" s="1861"/>
      <c r="K35" s="1862"/>
      <c r="L35" s="1859"/>
      <c r="M35" s="1859"/>
    </row>
    <row r="36" spans="1:18" ht="18" customHeight="1">
      <c r="A36" s="1353" t="s">
        <v>1039</v>
      </c>
      <c r="B36" s="346" t="s">
        <v>1449</v>
      </c>
      <c r="C36" s="24">
        <f ca="1">ROUND(C29*F36,1)</f>
        <v>1485.4</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168.3</v>
      </c>
      <c r="D37" s="2951" t="s">
        <v>1454</v>
      </c>
      <c r="E37" s="346" t="s">
        <v>1422</v>
      </c>
      <c r="F37" s="375">
        <f ca="1">INDIRECT("'数据-取费表'!Al"&amp;$G$1)</f>
        <v>2E-3</v>
      </c>
      <c r="G37" s="1851"/>
      <c r="H37" s="1859"/>
      <c r="I37" s="1860"/>
      <c r="J37" s="1861"/>
      <c r="K37" s="750"/>
      <c r="L37" s="1859"/>
      <c r="M37" s="1859"/>
    </row>
    <row r="38" spans="1:18" ht="18" customHeight="1" thickBot="1">
      <c r="A38" s="1340" t="s">
        <v>1392</v>
      </c>
      <c r="B38" s="1341" t="s">
        <v>1439</v>
      </c>
      <c r="C38" s="1342">
        <f ca="1">ROUND(C5*F38,1)</f>
        <v>813.4</v>
      </c>
      <c r="D38" s="1343" t="s">
        <v>1459</v>
      </c>
      <c r="E38" s="1341" t="s">
        <v>1422</v>
      </c>
      <c r="F38" s="1337">
        <f ca="1">INDIRECT("'数据-取费表'!Am"&amp;$G$1)</f>
        <v>0.02</v>
      </c>
      <c r="G38" s="1851"/>
      <c r="H38" s="1859"/>
      <c r="I38" s="1860"/>
      <c r="J38" s="1861"/>
      <c r="K38" s="1865"/>
      <c r="L38" s="1859"/>
      <c r="M38" s="1859"/>
    </row>
    <row r="39" spans="1:18" ht="24.6" customHeight="1" thickTop="1">
      <c r="A39" s="1330" t="s">
        <v>1031</v>
      </c>
      <c r="B39" s="1345" t="s">
        <v>1463</v>
      </c>
      <c r="C39" s="354">
        <f ca="1">C5-C30</f>
        <v>31132</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628024</v>
      </c>
      <c r="D40" s="369" t="s">
        <v>1469</v>
      </c>
      <c r="E40" s="346" t="s">
        <v>1470</v>
      </c>
      <c r="F40" s="356">
        <f ca="1">INDIRECT("'数据-取费表'!I"&amp;$G$1)</f>
        <v>0.06</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0.03</v>
      </c>
      <c r="G42" s="1851"/>
      <c r="H42" s="731"/>
      <c r="I42" s="1860"/>
      <c r="J42" s="1861"/>
      <c r="K42" s="750"/>
      <c r="L42" s="731"/>
      <c r="M42" s="731"/>
    </row>
    <row r="43" spans="1:18" ht="18" customHeight="1" thickBot="1">
      <c r="A43" s="379" t="s">
        <v>1033</v>
      </c>
      <c r="B43" s="380" t="s">
        <v>1487</v>
      </c>
      <c r="C43" s="381">
        <f ca="1">ROUND(C40*10000/F43,0)</f>
        <v>66029</v>
      </c>
      <c r="D43" s="382" t="s">
        <v>1488</v>
      </c>
      <c r="E43" s="383" t="s">
        <v>1489</v>
      </c>
      <c r="F43" s="384">
        <f ca="1">INDIRECT("'数据-取费表'!k"&amp;$G$1)</f>
        <v>95113.260000000009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-769302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628024</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99026</v>
      </c>
      <c r="R49" s="1886" t="s">
        <v>1529</v>
      </c>
    </row>
    <row r="50" spans="1:18" s="1842" customFormat="1" ht="13.5" thickBot="1">
      <c r="A50" s="1196"/>
      <c r="B50" s="1199"/>
      <c r="C50" s="1369"/>
      <c r="D50" s="1173"/>
      <c r="E50" s="1278" t="s">
        <v>1406</v>
      </c>
      <c r="F50" s="1279">
        <f ca="1">F7</f>
        <v>95113.260000000009</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380707</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628024</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84172</v>
      </c>
      <c r="D56" s="1914"/>
      <c r="E56" s="1915"/>
      <c r="F56" s="1907"/>
      <c r="I56" s="1916" t="s">
        <v>1554</v>
      </c>
      <c r="J56" s="1917" t="s">
        <v>3060</v>
      </c>
      <c r="K56" s="1887" t="s">
        <v>1555</v>
      </c>
      <c r="L56" s="1890" t="str">
        <f ca="1">IF(L48&lt;J51,"——",L48-J53)</f>
        <v>——</v>
      </c>
      <c r="O56" s="1884" t="s">
        <v>1040</v>
      </c>
      <c r="P56" s="1885" t="s">
        <v>1528</v>
      </c>
      <c r="Q56" s="1886">
        <f ca="1">C40+J29</f>
        <v>628024</v>
      </c>
      <c r="R56" s="1886" t="s">
        <v>1529</v>
      </c>
    </row>
    <row r="57" spans="1:18" s="1842" customFormat="1" ht="24.75" thickBot="1">
      <c r="A57" s="1918"/>
      <c r="B57" s="1170" t="s">
        <v>1478</v>
      </c>
      <c r="C57" s="281">
        <f ca="1">C29</f>
        <v>99026</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9992</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8338.6</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8318.18</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20.39</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628024</v>
      </c>
      <c r="R62" s="1886" t="s">
        <v>1047</v>
      </c>
    </row>
    <row r="63" spans="1:18" s="1842" customFormat="1" ht="13.5" thickBot="1">
      <c r="A63" s="371"/>
      <c r="B63" s="1176"/>
      <c r="C63" s="29"/>
      <c r="D63" s="1186"/>
      <c r="E63" s="1170" t="s">
        <v>1447</v>
      </c>
      <c r="F63" s="347">
        <f t="shared" ca="1" si="0"/>
        <v>8496.75</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1485.4</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168.3</v>
      </c>
      <c r="D65" s="1184" t="s">
        <v>1454</v>
      </c>
      <c r="E65" s="1170" t="s">
        <v>1422</v>
      </c>
      <c r="F65" s="375">
        <f t="shared" ca="1" si="0"/>
        <v>2E-3</v>
      </c>
      <c r="I65" s="1929" t="s">
        <v>1579</v>
      </c>
      <c r="J65" s="1930">
        <v>40</v>
      </c>
      <c r="K65" s="1930">
        <v>30</v>
      </c>
      <c r="L65" s="1930">
        <v>50</v>
      </c>
      <c r="M65" s="1932">
        <v>0.02</v>
      </c>
      <c r="O65" s="1884" t="s">
        <v>1040</v>
      </c>
      <c r="P65" s="1885" t="s">
        <v>1528</v>
      </c>
      <c r="Q65" s="1886">
        <f ca="1">C40+J29</f>
        <v>628024</v>
      </c>
      <c r="R65" s="1886" t="s">
        <v>1529</v>
      </c>
    </row>
    <row r="66" spans="1:18" s="1842" customFormat="1" ht="16.5" thickBot="1">
      <c r="A66" s="1202" t="s">
        <v>1504</v>
      </c>
      <c r="B66" s="1170" t="s">
        <v>1439</v>
      </c>
      <c r="C66" s="24">
        <f ca="1">ROUND(C48*F66,1)</f>
        <v>0</v>
      </c>
      <c r="D66" s="1184" t="s">
        <v>1459</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-9992</v>
      </c>
      <c r="D67" s="1183" t="s">
        <v>1464</v>
      </c>
      <c r="E67" s="1188"/>
      <c r="F67" s="1189"/>
      <c r="O67" s="1894" t="s">
        <v>1042</v>
      </c>
      <c r="P67" s="1885" t="s">
        <v>1562</v>
      </c>
      <c r="Q67" s="1933">
        <f ca="1">L51</f>
        <v>380707</v>
      </c>
      <c r="R67" s="1886" t="s">
        <v>1582</v>
      </c>
    </row>
    <row r="68" spans="1:18" s="1842" customFormat="1" ht="16.5" thickBot="1">
      <c r="A68" s="1167" t="s">
        <v>1032</v>
      </c>
      <c r="B68" s="1168" t="s">
        <v>1485</v>
      </c>
      <c r="C68" s="345">
        <f ca="1">ROUND(C67*(1-((1+F70)/(1+F68))^F69)/(F68-F70),0)</f>
        <v>-141278</v>
      </c>
      <c r="D68" s="1185" t="s">
        <v>1469</v>
      </c>
      <c r="E68" s="1170" t="s">
        <v>1470</v>
      </c>
      <c r="F68" s="356">
        <f ca="1">F40</f>
        <v>0.06</v>
      </c>
      <c r="O68" s="1894" t="s">
        <v>1043</v>
      </c>
      <c r="P68" s="1934" t="s">
        <v>1583</v>
      </c>
      <c r="Q68" s="1886">
        <f ca="1">ROUND(Q69-Q70*Q71,0)</f>
        <v>23977</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31132</v>
      </c>
      <c r="R69" s="1886" t="s">
        <v>1529</v>
      </c>
    </row>
    <row r="70" spans="1:18" s="1842" customFormat="1" ht="13.5" thickBot="1">
      <c r="A70" s="1174"/>
      <c r="B70" s="1175"/>
      <c r="C70" s="354"/>
      <c r="D70" s="1186"/>
      <c r="E70" s="1170" t="s">
        <v>1477</v>
      </c>
      <c r="F70" s="1276"/>
      <c r="O70" s="1894" t="s">
        <v>1049</v>
      </c>
      <c r="P70" s="1934" t="s">
        <v>1585</v>
      </c>
      <c r="Q70" s="1886">
        <f ca="1">C13</f>
        <v>84172</v>
      </c>
      <c r="R70" s="1886" t="s">
        <v>1529</v>
      </c>
    </row>
    <row r="71" spans="1:18" s="1842" customFormat="1" ht="13.5" thickBot="1">
      <c r="A71" s="1191" t="s">
        <v>1033</v>
      </c>
      <c r="B71" s="1192" t="s">
        <v>1487</v>
      </c>
      <c r="C71" s="381">
        <f ca="1">ROUND(C68*10000/F71,0)</f>
        <v>-14854</v>
      </c>
      <c r="D71" s="1193" t="s">
        <v>1488</v>
      </c>
      <c r="E71" s="1194" t="s">
        <v>1489</v>
      </c>
      <c r="F71" s="384">
        <f ca="1">F43</f>
        <v>95113.260000000009</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7155</v>
      </c>
      <c r="D75" s="1842"/>
      <c r="E75" s="1842"/>
      <c r="F75" s="1842"/>
      <c r="K75" s="1868"/>
      <c r="L75" s="1842"/>
      <c r="O75" s="1884" t="s">
        <v>1046</v>
      </c>
      <c r="P75" s="1885" t="s">
        <v>1549</v>
      </c>
      <c r="Q75" s="1886">
        <f ca="1">Q65+Q66</f>
        <v>628024</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0.77</v>
      </c>
    </row>
    <row r="80" spans="1:18">
      <c r="B80" s="385" t="s">
        <v>1511</v>
      </c>
      <c r="C80" s="317">
        <f ca="1">ROUND(C75/C39,3)</f>
        <v>0.23</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5" zoomScaleNormal="85" zoomScaleSheetLayoutView="90" workbookViewId="0">
      <selection activeCell="F43" sqref="F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48</v>
      </c>
      <c r="D1" s="1820" t="s">
        <v>70</v>
      </c>
      <c r="E1" s="1821" t="s">
        <v>1387</v>
      </c>
      <c r="F1" s="1284">
        <f ca="1">J53</f>
        <v>32.369999999999997</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27795</v>
      </c>
      <c r="C2" s="1845" t="s">
        <v>1516</v>
      </c>
      <c r="D2" s="1845"/>
      <c r="E2" s="1846"/>
      <c r="F2" s="1847"/>
      <c r="G2" s="1848"/>
      <c r="H2" s="1840"/>
      <c r="I2" s="1840"/>
      <c r="J2" s="1840"/>
      <c r="K2" s="1841"/>
      <c r="L2" s="1840"/>
      <c r="M2" s="1840"/>
    </row>
    <row r="3" spans="1:37" ht="18" customHeight="1" thickBot="1">
      <c r="A3" s="1849" t="s">
        <v>1517</v>
      </c>
      <c r="B3" s="1850">
        <f ca="1">IF(ISERROR(B2*10000/F43),0,ROUND(B2*10000/F43,0))</f>
        <v>8610</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1812</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1812</v>
      </c>
      <c r="D6" s="164" t="s">
        <v>3033</v>
      </c>
      <c r="E6" s="346" t="s">
        <v>1405</v>
      </c>
      <c r="F6" s="347">
        <f ca="1">INDIRECT("'数据-取费表'!u"&amp;$G$1)</f>
        <v>1800</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932</v>
      </c>
      <c r="G7" s="1851"/>
      <c r="H7" s="348"/>
      <c r="I7" s="3244"/>
      <c r="J7" s="350"/>
      <c r="K7" s="351"/>
      <c r="L7" s="346" t="s">
        <v>1406</v>
      </c>
      <c r="M7" s="347">
        <f ca="1">F7</f>
        <v>932</v>
      </c>
    </row>
    <row r="8" spans="1:37" ht="18" customHeight="1">
      <c r="A8" s="348"/>
      <c r="B8" s="3244"/>
      <c r="C8" s="350"/>
      <c r="D8" s="351"/>
      <c r="E8" s="346" t="s">
        <v>1407</v>
      </c>
      <c r="F8" s="347">
        <f ca="1">INDIRECT("'数据-取费表'!ai"&amp;$G$1)</f>
        <v>12</v>
      </c>
      <c r="G8" s="1851"/>
      <c r="H8" s="348"/>
      <c r="I8" s="3244"/>
      <c r="J8" s="350"/>
      <c r="K8" s="351"/>
      <c r="L8" s="346" t="s">
        <v>1407</v>
      </c>
      <c r="M8" s="347">
        <f ca="1">INDIRECT("'数据-取费表'!ai"&amp;$G$1)</f>
        <v>12</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0</v>
      </c>
      <c r="D10" s="1824" t="s">
        <v>3041</v>
      </c>
      <c r="E10" s="357" t="s">
        <v>1410</v>
      </c>
      <c r="F10" s="1367" t="s">
        <v>3195</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9429</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8146</v>
      </c>
      <c r="D14" s="2950" t="s">
        <v>1418</v>
      </c>
      <c r="E14" s="2949"/>
      <c r="F14" s="363"/>
      <c r="G14" s="1851"/>
      <c r="H14" s="1202" t="s">
        <v>1035</v>
      </c>
      <c r="I14" s="346" t="s">
        <v>1419</v>
      </c>
      <c r="J14" s="24">
        <f ca="1">C29</f>
        <v>11093</v>
      </c>
      <c r="K14" s="2946"/>
      <c r="L14" s="980"/>
      <c r="M14" s="981"/>
    </row>
    <row r="15" spans="1:37" s="1858" customFormat="1" ht="18" customHeight="1" thickBot="1">
      <c r="A15" s="1202" t="s">
        <v>1036</v>
      </c>
      <c r="B15" s="346" t="s">
        <v>1420</v>
      </c>
      <c r="C15" s="24">
        <f ca="1">ROUND(C14*F15,0)</f>
        <v>244</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267</v>
      </c>
      <c r="K16" s="1338" t="s">
        <v>1425</v>
      </c>
      <c r="L16" s="2952"/>
      <c r="M16" s="1295"/>
    </row>
    <row r="17" spans="1:37" s="1858" customFormat="1" ht="18" customHeight="1">
      <c r="A17" s="1202" t="s">
        <v>1390</v>
      </c>
      <c r="B17" s="346" t="s">
        <v>1426</v>
      </c>
      <c r="C17" s="24">
        <f ca="1">ROUND(F17*(F43+INDIRECT("'数据-取费表'!S"&amp;$G$1))/10000,0)</f>
        <v>652</v>
      </c>
      <c r="D17" s="346" t="s">
        <v>1427</v>
      </c>
      <c r="E17" s="346" t="s">
        <v>1428</v>
      </c>
      <c r="F17" s="26">
        <f>'数据-取费表'!B35</f>
        <v>200</v>
      </c>
      <c r="G17" s="1854"/>
      <c r="H17" s="1202" t="s">
        <v>1035</v>
      </c>
      <c r="I17" s="346" t="s">
        <v>1429</v>
      </c>
      <c r="J17" s="24">
        <f ca="1">ROUND(IF(项目基本情况!B11="自然人",J5*M17,J18+J19+J20),1)</f>
        <v>100.1</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122</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9164</v>
      </c>
      <c r="D19" s="140" t="s">
        <v>1436</v>
      </c>
      <c r="E19" s="2945"/>
      <c r="F19" s="26"/>
      <c r="G19" s="1851"/>
      <c r="H19" s="1202" t="s">
        <v>1036</v>
      </c>
      <c r="I19" s="346" t="s">
        <v>1437</v>
      </c>
      <c r="J19" s="24">
        <f ca="1">IF(K19="按租金收入计税",ROUND(J5*M19,2),ROUND(C29*M19*0.7,2))</f>
        <v>93.18</v>
      </c>
      <c r="K19" s="1828" t="s">
        <v>1438</v>
      </c>
      <c r="L19" s="346" t="s">
        <v>1422</v>
      </c>
      <c r="M19" s="366">
        <f>IF(K19="按租金收入计税",'数据-取费表'!B51,'数据-取费表'!B50)</f>
        <v>1.2E-2</v>
      </c>
    </row>
    <row r="20" spans="1:37" s="1858" customFormat="1" ht="18" customHeight="1">
      <c r="A20" s="1202" t="s">
        <v>1039</v>
      </c>
      <c r="B20" s="346" t="s">
        <v>1439</v>
      </c>
      <c r="C20" s="24">
        <f ca="1">ROUND(C19*F20,0)</f>
        <v>183</v>
      </c>
      <c r="D20" s="368" t="s">
        <v>1440</v>
      </c>
      <c r="E20" s="346" t="s">
        <v>1422</v>
      </c>
      <c r="F20" s="366">
        <f>'数据-取费表'!B37</f>
        <v>0.02</v>
      </c>
      <c r="G20" s="1854"/>
      <c r="H20" s="1202" t="s">
        <v>1389</v>
      </c>
      <c r="I20" s="164" t="s">
        <v>1441</v>
      </c>
      <c r="J20" s="25">
        <f ca="1">ROUND(M20*M21/10000,2)</f>
        <v>6.92</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2883.81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166.4</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444</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-267</v>
      </c>
      <c r="K25" s="1346" t="s">
        <v>1464</v>
      </c>
      <c r="L25" s="1347"/>
      <c r="M25" s="1348"/>
    </row>
    <row r="26" spans="1:37">
      <c r="A26" s="1202" t="s">
        <v>1034</v>
      </c>
      <c r="B26" s="346" t="s">
        <v>1465</v>
      </c>
      <c r="C26" s="24">
        <f ca="1">ROUND((C19+C20)*F26,0)</f>
        <v>467</v>
      </c>
      <c r="D26" s="368" t="s">
        <v>1466</v>
      </c>
      <c r="E26" s="357" t="s">
        <v>1467</v>
      </c>
      <c r="F26" s="356">
        <f ca="1">INDIRECT("'数据-取费表'!q"&amp;$G$1)</f>
        <v>0.05</v>
      </c>
      <c r="G26" s="1851"/>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11093</v>
      </c>
      <c r="D29" s="1343"/>
      <c r="E29" s="1341"/>
      <c r="F29" s="1344"/>
      <c r="G29" s="1854"/>
      <c r="H29" s="379" t="s">
        <v>1033</v>
      </c>
      <c r="I29" s="380" t="s">
        <v>1479</v>
      </c>
      <c r="J29" s="381">
        <f ca="1">ROUND(J26/(1+F40)^F41,0)</f>
        <v>0</v>
      </c>
      <c r="K29" s="382" t="s">
        <v>1480</v>
      </c>
      <c r="L29" s="383"/>
      <c r="M29" s="384">
        <f ca="1">INDIRECT("'数据-取费表'!k"&amp;$G$1)</f>
        <v>32281.690000000002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529</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321</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96.64</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217.44</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6.92</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2883.81</v>
      </c>
      <c r="G35" s="1851"/>
      <c r="H35" s="744"/>
      <c r="I35" s="1860"/>
      <c r="J35" s="1861"/>
      <c r="K35" s="1862"/>
      <c r="L35" s="1859"/>
      <c r="M35" s="1859"/>
    </row>
    <row r="36" spans="1:18" ht="18" customHeight="1">
      <c r="A36" s="1353" t="s">
        <v>1039</v>
      </c>
      <c r="B36" s="346" t="s">
        <v>1449</v>
      </c>
      <c r="C36" s="24">
        <f ca="1">ROUND(C29*F36,1)</f>
        <v>166.4</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14.1</v>
      </c>
      <c r="D37" s="2951" t="s">
        <v>1454</v>
      </c>
      <c r="E37" s="346" t="s">
        <v>1422</v>
      </c>
      <c r="F37" s="375">
        <f ca="1">INDIRECT("'数据-取费表'!Al"&amp;$G$1)</f>
        <v>1.5E-3</v>
      </c>
      <c r="G37" s="1851"/>
      <c r="H37" s="1859"/>
      <c r="I37" s="1860"/>
      <c r="J37" s="1861"/>
      <c r="K37" s="750"/>
      <c r="L37" s="1859"/>
      <c r="M37" s="1859"/>
    </row>
    <row r="38" spans="1:18" ht="18" customHeight="1" thickBot="1">
      <c r="A38" s="1340" t="s">
        <v>1392</v>
      </c>
      <c r="B38" s="1341" t="s">
        <v>1439</v>
      </c>
      <c r="C38" s="1342">
        <f ca="1">ROUND(C5*F38,1)</f>
        <v>27.2</v>
      </c>
      <c r="D38" s="1343" t="s">
        <v>1459</v>
      </c>
      <c r="E38" s="1341" t="s">
        <v>1422</v>
      </c>
      <c r="F38" s="1337">
        <f ca="1">INDIRECT("'数据-取费表'!Am"&amp;$G$1)</f>
        <v>1.4999999999999999E-2</v>
      </c>
      <c r="G38" s="1851"/>
      <c r="H38" s="1859"/>
      <c r="I38" s="1860"/>
      <c r="J38" s="1861"/>
      <c r="K38" s="1865"/>
      <c r="L38" s="1859"/>
      <c r="M38" s="1859"/>
    </row>
    <row r="39" spans="1:18" ht="24.6" customHeight="1" thickTop="1">
      <c r="A39" s="1330" t="s">
        <v>1031</v>
      </c>
      <c r="B39" s="1345" t="s">
        <v>1463</v>
      </c>
      <c r="C39" s="354">
        <f ca="1">C5-C30</f>
        <v>1283</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27795</v>
      </c>
      <c r="D40" s="369" t="s">
        <v>1469</v>
      </c>
      <c r="E40" s="346" t="s">
        <v>1470</v>
      </c>
      <c r="F40" s="356">
        <f ca="1">INDIRECT("'数据-取费表'!I"&amp;$G$1)</f>
        <v>0.05</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2.5000000000000001E-2</v>
      </c>
      <c r="G42" s="1851"/>
      <c r="H42" s="731"/>
      <c r="I42" s="1860"/>
      <c r="J42" s="1861"/>
      <c r="K42" s="750"/>
      <c r="L42" s="731"/>
      <c r="M42" s="731"/>
    </row>
    <row r="43" spans="1:18" ht="18" customHeight="1" thickBot="1">
      <c r="A43" s="379" t="s">
        <v>1033</v>
      </c>
      <c r="B43" s="380" t="s">
        <v>1487</v>
      </c>
      <c r="C43" s="381">
        <f ca="1">ROUND(C40*10000/F43,0)</f>
        <v>8610</v>
      </c>
      <c r="D43" s="382" t="s">
        <v>1488</v>
      </c>
      <c r="E43" s="383" t="s">
        <v>1489</v>
      </c>
      <c r="F43" s="384">
        <f ca="1">INDIRECT("'数据-取费表'!k"&amp;$G$1)</f>
        <v>32281.690000000002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-45562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27795</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11093</v>
      </c>
      <c r="R49" s="1886" t="s">
        <v>1529</v>
      </c>
    </row>
    <row r="50" spans="1:18" s="1842" customFormat="1" ht="13.5" thickBot="1">
      <c r="A50" s="1196"/>
      <c r="B50" s="1199"/>
      <c r="C50" s="1369"/>
      <c r="D50" s="1173"/>
      <c r="E50" s="1278" t="s">
        <v>1406</v>
      </c>
      <c r="F50" s="1279">
        <f ca="1">F7</f>
        <v>932</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12</v>
      </c>
      <c r="I51" s="1898" t="s">
        <v>1540</v>
      </c>
      <c r="J51" s="1899">
        <f>IF(J49="",J50,J49+J50-YEAR('数据-取费表'!B2))</f>
        <v>44</v>
      </c>
      <c r="K51" s="1900" t="s">
        <v>1541</v>
      </c>
      <c r="L51" s="1901">
        <f ca="1">ROUND(-PV(INDIRECT("'数据-取费表'!h"&amp;$G$1),L48,(C39-C13*C76),0),0)</f>
        <v>8127</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27795</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9429</v>
      </c>
      <c r="D56" s="1914"/>
      <c r="E56" s="1915"/>
      <c r="F56" s="1907"/>
      <c r="I56" s="1916" t="s">
        <v>1554</v>
      </c>
      <c r="J56" s="1917" t="s">
        <v>3060</v>
      </c>
      <c r="K56" s="1887" t="s">
        <v>1555</v>
      </c>
      <c r="L56" s="1890" t="str">
        <f ca="1">IF(L48&lt;J51,"——",L48-J53)</f>
        <v>——</v>
      </c>
      <c r="O56" s="1884" t="s">
        <v>1040</v>
      </c>
      <c r="P56" s="1885" t="s">
        <v>1528</v>
      </c>
      <c r="Q56" s="1886">
        <f ca="1">C40+J29</f>
        <v>27795</v>
      </c>
      <c r="R56" s="1886" t="s">
        <v>1529</v>
      </c>
    </row>
    <row r="57" spans="1:18" s="1842" customFormat="1" ht="24.75" thickBot="1">
      <c r="A57" s="1918"/>
      <c r="B57" s="1170" t="s">
        <v>1478</v>
      </c>
      <c r="C57" s="281">
        <f ca="1">C29</f>
        <v>11093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1119</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938.7</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931.81</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6.92</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27795</v>
      </c>
      <c r="R62" s="1886" t="s">
        <v>1047</v>
      </c>
    </row>
    <row r="63" spans="1:18" s="1842" customFormat="1" ht="13.5" thickBot="1">
      <c r="A63" s="371"/>
      <c r="B63" s="1176"/>
      <c r="C63" s="29"/>
      <c r="D63" s="1186"/>
      <c r="E63" s="1170" t="s">
        <v>1447</v>
      </c>
      <c r="F63" s="347">
        <f t="shared" ca="1" si="0"/>
        <v>2883.81</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166.4</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14.1</v>
      </c>
      <c r="D65" s="1184" t="s">
        <v>1454</v>
      </c>
      <c r="E65" s="1170" t="s">
        <v>1422</v>
      </c>
      <c r="F65" s="375">
        <f t="shared" ca="1" si="0"/>
        <v>1.5E-3</v>
      </c>
      <c r="I65" s="1929" t="s">
        <v>1579</v>
      </c>
      <c r="J65" s="1930">
        <v>40</v>
      </c>
      <c r="K65" s="1930">
        <v>30</v>
      </c>
      <c r="L65" s="1930">
        <v>50</v>
      </c>
      <c r="M65" s="1932">
        <v>0.02</v>
      </c>
      <c r="O65" s="1884" t="s">
        <v>1040</v>
      </c>
      <c r="P65" s="1885" t="s">
        <v>1528</v>
      </c>
      <c r="Q65" s="1886">
        <f ca="1">C40+J29</f>
        <v>27795</v>
      </c>
      <c r="R65" s="1886" t="s">
        <v>1529</v>
      </c>
    </row>
    <row r="66" spans="1:18" s="1842" customFormat="1" ht="16.5" thickBot="1">
      <c r="A66" s="1202" t="s">
        <v>1504</v>
      </c>
      <c r="B66" s="1170" t="s">
        <v>1439</v>
      </c>
      <c r="C66" s="24">
        <f ca="1">ROUND(C48*F66,1)</f>
        <v>0</v>
      </c>
      <c r="D66" s="1184" t="s">
        <v>1459</v>
      </c>
      <c r="E66" s="1170" t="s">
        <v>1422</v>
      </c>
      <c r="F66" s="356">
        <f t="shared" ca="1" si="0"/>
        <v>1.4999999999999999E-2</v>
      </c>
      <c r="O66" s="1884" t="s">
        <v>1041</v>
      </c>
      <c r="P66" s="1885" t="s">
        <v>1558</v>
      </c>
      <c r="Q66" s="1886">
        <f ca="1">L60</f>
        <v>0</v>
      </c>
      <c r="R66" s="1886" t="s">
        <v>1581</v>
      </c>
    </row>
    <row r="67" spans="1:18" s="1842" customFormat="1" ht="16.5" thickBot="1">
      <c r="A67" s="1177" t="s">
        <v>1031</v>
      </c>
      <c r="B67" s="1187" t="s">
        <v>1463</v>
      </c>
      <c r="C67" s="360">
        <f ca="1">C48-C58</f>
        <v>-1119</v>
      </c>
      <c r="D67" s="1183" t="s">
        <v>1464</v>
      </c>
      <c r="E67" s="1188"/>
      <c r="F67" s="1189"/>
      <c r="O67" s="1894" t="s">
        <v>1042</v>
      </c>
      <c r="P67" s="1885" t="s">
        <v>1562</v>
      </c>
      <c r="Q67" s="1933">
        <f ca="1">L51</f>
        <v>8127</v>
      </c>
      <c r="R67" s="1886" t="s">
        <v>1582</v>
      </c>
    </row>
    <row r="68" spans="1:18" s="1842" customFormat="1" ht="16.5" thickBot="1">
      <c r="A68" s="1167" t="s">
        <v>1032</v>
      </c>
      <c r="B68" s="1168" t="s">
        <v>1485</v>
      </c>
      <c r="C68" s="345">
        <f ca="1">ROUND(C67*(1-((1+F70)/(1+F68))^F69)/(F68-F70),0)</f>
        <v>-17767</v>
      </c>
      <c r="D68" s="1185" t="s">
        <v>1469</v>
      </c>
      <c r="E68" s="1170" t="s">
        <v>1470</v>
      </c>
      <c r="F68" s="356">
        <f ca="1">F40</f>
        <v>0.05</v>
      </c>
      <c r="O68" s="1894" t="s">
        <v>1043</v>
      </c>
      <c r="P68" s="1934" t="s">
        <v>1583</v>
      </c>
      <c r="Q68" s="1886">
        <f ca="1">ROUND(Q69-Q70*Q71,0)</f>
        <v>482</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1283</v>
      </c>
      <c r="R69" s="1886" t="s">
        <v>1529</v>
      </c>
    </row>
    <row r="70" spans="1:18" s="1842" customFormat="1" ht="13.5" thickBot="1">
      <c r="A70" s="1174"/>
      <c r="B70" s="1175"/>
      <c r="C70" s="354"/>
      <c r="D70" s="1186"/>
      <c r="E70" s="1170" t="s">
        <v>1477</v>
      </c>
      <c r="F70" s="1276"/>
      <c r="O70" s="1894" t="s">
        <v>1049</v>
      </c>
      <c r="P70" s="1934" t="s">
        <v>1585</v>
      </c>
      <c r="Q70" s="1886">
        <f ca="1">C13</f>
        <v>9429</v>
      </c>
      <c r="R70" s="1886" t="s">
        <v>1529</v>
      </c>
    </row>
    <row r="71" spans="1:18" s="1842" customFormat="1" ht="13.5" thickBot="1">
      <c r="A71" s="1191" t="s">
        <v>1033</v>
      </c>
      <c r="B71" s="1192" t="s">
        <v>1487</v>
      </c>
      <c r="C71" s="381">
        <f ca="1">ROUND(C68*10000/F71,0)</f>
        <v>-5504</v>
      </c>
      <c r="D71" s="1193" t="s">
        <v>1488</v>
      </c>
      <c r="E71" s="1194" t="s">
        <v>1489</v>
      </c>
      <c r="F71" s="384">
        <f ca="1">F43</f>
        <v>32281.690000000002</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801</v>
      </c>
      <c r="D75" s="1842"/>
      <c r="E75" s="1842"/>
      <c r="F75" s="1842"/>
      <c r="K75" s="1868"/>
      <c r="L75" s="1842"/>
      <c r="O75" s="1884" t="s">
        <v>1046</v>
      </c>
      <c r="P75" s="1885" t="s">
        <v>1549</v>
      </c>
      <c r="Q75" s="1886">
        <f ca="1">Q65+Q66</f>
        <v>27795</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0.376</v>
      </c>
    </row>
    <row r="80" spans="1:18">
      <c r="B80" s="385" t="s">
        <v>1511</v>
      </c>
      <c r="C80" s="317">
        <f ca="1">ROUND(C75/C39,3)</f>
        <v>0.624</v>
      </c>
    </row>
    <row r="81" spans="2:3">
      <c r="B81" s="313" t="s">
        <v>1512</v>
      </c>
      <c r="C81" s="281"/>
    </row>
    <row r="82" spans="2:3">
      <c r="B82" s="316" t="s">
        <v>1513</v>
      </c>
      <c r="C82" s="318">
        <f ca="1">1-C83</f>
        <v>0.66100000000000003</v>
      </c>
    </row>
    <row r="83" spans="2:3">
      <c r="B83" s="316" t="s">
        <v>1514</v>
      </c>
      <c r="C83" s="317">
        <f ca="1">ROUND(C13/C40,3)</f>
        <v>0.33900000000000002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2" t="s">
        <v>1076</v>
      </c>
      <c r="B1" s="3263"/>
      <c r="C1" s="3264"/>
      <c r="D1" s="3265">
        <f>SUM(I10,I15,I20,I21,I23)</f>
        <v>0</v>
      </c>
      <c r="E1" s="3265"/>
      <c r="F1" s="3265"/>
      <c r="G1" s="3265"/>
      <c r="H1" s="3265"/>
      <c r="I1" s="3266"/>
    </row>
    <row r="2" spans="1:9">
      <c r="A2" s="3252" t="s">
        <v>1077</v>
      </c>
      <c r="B2" s="3253" t="s">
        <v>1078</v>
      </c>
      <c r="C2" s="3253"/>
      <c r="D2" s="1302" t="s">
        <v>1079</v>
      </c>
      <c r="E2" s="1302" t="s">
        <v>1080</v>
      </c>
      <c r="F2" s="1302" t="s">
        <v>1081</v>
      </c>
      <c r="G2" s="1302" t="s">
        <v>1082</v>
      </c>
      <c r="H2" s="1302" t="s">
        <v>1083</v>
      </c>
      <c r="I2" s="1303" t="s">
        <v>1084</v>
      </c>
    </row>
    <row r="3" spans="1:9">
      <c r="A3" s="3252"/>
      <c r="B3" s="3253" t="s">
        <v>1085</v>
      </c>
      <c r="C3" s="3253"/>
      <c r="D3" s="1304"/>
      <c r="E3" s="1302"/>
      <c r="F3" s="1305"/>
      <c r="G3" s="1305"/>
      <c r="H3" s="1306"/>
      <c r="I3" s="1307">
        <f>ROUND(D3*E3*F3*G3*H3/10000,0)</f>
        <v>0</v>
      </c>
    </row>
    <row r="4" spans="1:9">
      <c r="A4" s="3252"/>
      <c r="B4" s="3253" t="s">
        <v>1086</v>
      </c>
      <c r="C4" s="3253"/>
      <c r="D4" s="1304"/>
      <c r="E4" s="1302"/>
      <c r="F4" s="1305"/>
      <c r="G4" s="1305"/>
      <c r="H4" s="1306"/>
      <c r="I4" s="1307">
        <f t="shared" ref="I4:I9" si="0">ROUND(D4*E4*F4*G4*H4/10000,0)</f>
        <v>0</v>
      </c>
    </row>
    <row r="5" spans="1:9">
      <c r="A5" s="3252"/>
      <c r="B5" s="3253" t="s">
        <v>1087</v>
      </c>
      <c r="C5" s="3253"/>
      <c r="D5" s="1304"/>
      <c r="E5" s="1302"/>
      <c r="F5" s="1305"/>
      <c r="G5" s="1305"/>
      <c r="H5" s="1306"/>
      <c r="I5" s="1307">
        <f t="shared" si="0"/>
        <v>0</v>
      </c>
    </row>
    <row r="6" spans="1:9">
      <c r="A6" s="3252"/>
      <c r="B6" s="3253" t="s">
        <v>1088</v>
      </c>
      <c r="C6" s="3253"/>
      <c r="D6" s="1304"/>
      <c r="E6" s="1302"/>
      <c r="F6" s="1305"/>
      <c r="G6" s="1305"/>
      <c r="H6" s="1306"/>
      <c r="I6" s="1307">
        <f t="shared" si="0"/>
        <v>0</v>
      </c>
    </row>
    <row r="7" spans="1:9">
      <c r="A7" s="3252"/>
      <c r="B7" s="3253" t="s">
        <v>1089</v>
      </c>
      <c r="C7" s="3253"/>
      <c r="D7" s="1304"/>
      <c r="E7" s="1302"/>
      <c r="F7" s="1305"/>
      <c r="G7" s="1305"/>
      <c r="H7" s="1306"/>
      <c r="I7" s="1307">
        <f t="shared" si="0"/>
        <v>0</v>
      </c>
    </row>
    <row r="8" spans="1:9">
      <c r="A8" s="3252"/>
      <c r="B8" s="3253" t="s">
        <v>1090</v>
      </c>
      <c r="C8" s="3253"/>
      <c r="D8" s="1304"/>
      <c r="E8" s="1302"/>
      <c r="F8" s="1305"/>
      <c r="G8" s="1305"/>
      <c r="H8" s="1306"/>
      <c r="I8" s="1307">
        <f t="shared" si="0"/>
        <v>0</v>
      </c>
    </row>
    <row r="9" spans="1:9">
      <c r="A9" s="3252"/>
      <c r="B9" s="3253" t="s">
        <v>1091</v>
      </c>
      <c r="C9" s="3253"/>
      <c r="D9" s="1304"/>
      <c r="E9" s="1302"/>
      <c r="F9" s="1305"/>
      <c r="G9" s="1305"/>
      <c r="H9" s="1306"/>
      <c r="I9" s="1307">
        <f t="shared" si="0"/>
        <v>0</v>
      </c>
    </row>
    <row r="10" spans="1:9">
      <c r="A10" s="3252"/>
      <c r="B10" s="3254" t="s">
        <v>1092</v>
      </c>
      <c r="C10" s="3254"/>
      <c r="D10" s="1308"/>
      <c r="E10" s="1308" t="e">
        <f>ROUND(D1*10000/D10/H9,0)</f>
        <v>#DIV/0!</v>
      </c>
      <c r="F10" s="1309"/>
      <c r="G10" s="1309"/>
      <c r="H10" s="1310"/>
      <c r="I10" s="1311">
        <f>SUM(I3:I9)</f>
        <v>0</v>
      </c>
    </row>
    <row r="11" spans="1:9" ht="14.25">
      <c r="A11" s="3252" t="s">
        <v>1093</v>
      </c>
      <c r="B11" s="3253" t="s">
        <v>1094</v>
      </c>
      <c r="C11" s="3253"/>
      <c r="D11" s="1304" t="s">
        <v>1095</v>
      </c>
      <c r="E11" s="1304" t="s">
        <v>1096</v>
      </c>
      <c r="F11" s="1305" t="s">
        <v>1097</v>
      </c>
      <c r="G11" s="1305" t="s">
        <v>1083</v>
      </c>
      <c r="H11" s="1312" t="s">
        <v>1098</v>
      </c>
      <c r="I11" s="1303" t="s">
        <v>1084</v>
      </c>
    </row>
    <row r="12" spans="1:9">
      <c r="A12" s="3252"/>
      <c r="B12" s="3253" t="s">
        <v>1099</v>
      </c>
      <c r="C12" s="3253"/>
      <c r="D12" s="1304"/>
      <c r="E12" s="1304"/>
      <c r="F12" s="1305"/>
      <c r="G12" s="1306"/>
      <c r="H12" s="1313"/>
      <c r="I12" s="1303">
        <f>ROUND(D12*E12*F12*G12/10000,0)</f>
        <v>0</v>
      </c>
    </row>
    <row r="13" spans="1:9">
      <c r="A13" s="3252"/>
      <c r="B13" s="3253" t="s">
        <v>1100</v>
      </c>
      <c r="C13" s="3253"/>
      <c r="D13" s="1304"/>
      <c r="E13" s="1304"/>
      <c r="F13" s="1305"/>
      <c r="G13" s="1306"/>
      <c r="H13" s="1313"/>
      <c r="I13" s="1303">
        <f>ROUND(D13*E13*F13*G13/10000,0)</f>
        <v>0</v>
      </c>
    </row>
    <row r="14" spans="1:9">
      <c r="A14" s="3252"/>
      <c r="B14" s="3253" t="s">
        <v>1101</v>
      </c>
      <c r="C14" s="3253"/>
      <c r="D14" s="1304"/>
      <c r="E14" s="1304"/>
      <c r="F14" s="1305"/>
      <c r="G14" s="1306"/>
      <c r="H14" s="1313"/>
      <c r="I14" s="1303">
        <f>ROUND(D14*E14*F14*G14/10000,0)</f>
        <v>0</v>
      </c>
    </row>
    <row r="15" spans="1:9">
      <c r="A15" s="3252"/>
      <c r="B15" s="3254" t="s">
        <v>1092</v>
      </c>
      <c r="C15" s="3254"/>
      <c r="D15" s="1308"/>
      <c r="E15" s="1308">
        <f>SUM(E12:E14)</f>
        <v>0</v>
      </c>
      <c r="F15" s="1309"/>
      <c r="G15" s="1306"/>
      <c r="H15" s="1313"/>
      <c r="I15" s="1314">
        <f>SUM(I12:I14)</f>
        <v>0</v>
      </c>
    </row>
    <row r="16" spans="1:9" ht="24">
      <c r="A16" s="3252" t="s">
        <v>1102</v>
      </c>
      <c r="B16" s="3253" t="s">
        <v>1103</v>
      </c>
      <c r="C16" s="3253"/>
      <c r="D16" s="1304" t="s">
        <v>1079</v>
      </c>
      <c r="E16" s="1315" t="s">
        <v>1104</v>
      </c>
      <c r="F16" s="1305" t="s">
        <v>1105</v>
      </c>
      <c r="G16" s="1306" t="s">
        <v>1083</v>
      </c>
      <c r="H16" s="1312" t="s">
        <v>1098</v>
      </c>
      <c r="I16" s="1303" t="s">
        <v>1084</v>
      </c>
    </row>
    <row r="17" spans="1:9" ht="14.25">
      <c r="A17" s="3252"/>
      <c r="B17" s="3253" t="s">
        <v>1106</v>
      </c>
      <c r="C17" s="3253"/>
      <c r="D17" s="1304"/>
      <c r="E17" s="1304"/>
      <c r="F17" s="1305"/>
      <c r="G17" s="1306"/>
      <c r="H17" s="1316"/>
      <c r="I17" s="1317">
        <f>ROUND(D17*E17*F17*G17/10000,0)</f>
        <v>0</v>
      </c>
    </row>
    <row r="18" spans="1:9" ht="14.25">
      <c r="A18" s="3252"/>
      <c r="B18" s="3253" t="s">
        <v>1107</v>
      </c>
      <c r="C18" s="3253"/>
      <c r="D18" s="1304"/>
      <c r="E18" s="1304"/>
      <c r="F18" s="1305"/>
      <c r="G18" s="1306"/>
      <c r="H18" s="1316"/>
      <c r="I18" s="1317">
        <f>ROUND(D18*E18*F18*G18/10000,0)</f>
        <v>0</v>
      </c>
    </row>
    <row r="19" spans="1:9" ht="14.25">
      <c r="A19" s="3252"/>
      <c r="B19" s="3253" t="s">
        <v>1108</v>
      </c>
      <c r="C19" s="3253"/>
      <c r="D19" s="1304"/>
      <c r="E19" s="1304"/>
      <c r="F19" s="1305"/>
      <c r="G19" s="1306"/>
      <c r="H19" s="1316"/>
      <c r="I19" s="1317">
        <f>ROUND(D19*E19*F19*G19/10000,0)</f>
        <v>0</v>
      </c>
    </row>
    <row r="20" spans="1:9">
      <c r="A20" s="3252"/>
      <c r="B20" s="3254" t="s">
        <v>1092</v>
      </c>
      <c r="C20" s="3254"/>
      <c r="D20" s="1308">
        <f>SUM(D17:D19)</f>
        <v>0</v>
      </c>
      <c r="E20" s="1308"/>
      <c r="F20" s="1309"/>
      <c r="G20" s="1306"/>
      <c r="H20" s="1313"/>
      <c r="I20" s="1314">
        <f>SUM(I17:I19)</f>
        <v>0</v>
      </c>
    </row>
    <row r="21" spans="1:9">
      <c r="A21" s="3252" t="s">
        <v>1109</v>
      </c>
      <c r="B21" s="3255"/>
      <c r="C21" s="3255"/>
      <c r="D21" s="3255"/>
      <c r="E21" s="3255"/>
      <c r="F21" s="3255"/>
      <c r="G21" s="3255"/>
      <c r="H21" s="1765">
        <v>0.1</v>
      </c>
      <c r="I21" s="1311">
        <f>ROUND(I10*H21,0)</f>
        <v>0</v>
      </c>
    </row>
    <row r="22" spans="1:9" ht="14.25">
      <c r="A22" s="3256" t="s">
        <v>1110</v>
      </c>
      <c r="B22" s="3257"/>
      <c r="C22" s="3258"/>
      <c r="D22" s="1318" t="s">
        <v>1111</v>
      </c>
      <c r="E22" s="1318" t="s">
        <v>1112</v>
      </c>
      <c r="F22" s="1319" t="s">
        <v>1113</v>
      </c>
      <c r="G22" s="1319" t="s">
        <v>1114</v>
      </c>
      <c r="H22" s="1312" t="s">
        <v>1115</v>
      </c>
      <c r="I22" s="1303" t="s">
        <v>1116</v>
      </c>
    </row>
    <row r="23" spans="1:9" ht="14.25" thickBot="1">
      <c r="A23" s="3259"/>
      <c r="B23" s="3260"/>
      <c r="C23" s="3261"/>
      <c r="D23" s="1320"/>
      <c r="E23" s="1320"/>
      <c r="F23" s="1320"/>
      <c r="G23" s="1321"/>
      <c r="H23" s="1322"/>
      <c r="I23" s="1323">
        <f>ROUND(E23*D23*F23*(1-G23)/10000,0)</f>
        <v>0</v>
      </c>
    </row>
    <row r="26" spans="1:9">
      <c r="A26" s="1324" t="s">
        <v>1117</v>
      </c>
      <c r="B26" s="1324"/>
      <c r="C26" s="1324"/>
      <c r="D26" s="1324"/>
      <c r="E26" s="3249">
        <f>C27-C30-C31-C32</f>
        <v>0</v>
      </c>
      <c r="F26" s="3249"/>
      <c r="G26" s="3249"/>
      <c r="H26" s="1737" t="s">
        <v>1340</v>
      </c>
    </row>
    <row r="27" spans="1:9">
      <c r="A27" s="1325">
        <v>1</v>
      </c>
      <c r="B27" s="1326" t="s">
        <v>1118</v>
      </c>
      <c r="C27" s="1326">
        <f>C28+C29</f>
        <v>0</v>
      </c>
      <c r="D27" s="1326"/>
      <c r="E27" s="3250"/>
      <c r="F27" s="3250"/>
      <c r="G27" s="3250"/>
    </row>
    <row r="28" spans="1:9">
      <c r="A28" s="1327" t="s">
        <v>1119</v>
      </c>
      <c r="B28" s="1326" t="s">
        <v>1120</v>
      </c>
      <c r="C28" s="1326"/>
      <c r="D28" s="1326"/>
      <c r="E28" s="3250"/>
      <c r="F28" s="3250"/>
      <c r="G28" s="325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1"/>
      <c r="F32" s="3251"/>
      <c r="G32" s="3251"/>
    </row>
    <row r="33" spans="1:7" hidden="1">
      <c r="A33" s="3246" t="s">
        <v>1129</v>
      </c>
      <c r="B33" s="3247"/>
      <c r="C33" s="3247"/>
      <c r="D33" s="3248"/>
      <c r="E33" s="3249"/>
      <c r="F33" s="3249"/>
      <c r="G33" s="3249"/>
    </row>
    <row r="34" spans="1:7" hidden="1">
      <c r="A34" s="1329">
        <v>1</v>
      </c>
      <c r="B34" s="1326" t="s">
        <v>1130</v>
      </c>
      <c r="C34" s="1326"/>
      <c r="D34" s="1326"/>
      <c r="E34" s="3250"/>
      <c r="F34" s="3250"/>
      <c r="G34" s="3250"/>
    </row>
    <row r="35" spans="1:7" hidden="1">
      <c r="A35" s="1329">
        <v>2</v>
      </c>
      <c r="B35" s="1326" t="s">
        <v>1131</v>
      </c>
      <c r="C35" s="1326"/>
      <c r="D35" s="1326"/>
      <c r="E35" s="3250"/>
      <c r="F35" s="3250"/>
      <c r="G35" s="3250"/>
    </row>
    <row r="36" spans="1:7" hidden="1">
      <c r="A36" s="1329">
        <v>3</v>
      </c>
      <c r="B36" s="1326" t="s">
        <v>1132</v>
      </c>
      <c r="C36" s="1326"/>
      <c r="D36" s="1326"/>
      <c r="E36" s="3250"/>
      <c r="F36" s="3250"/>
      <c r="G36" s="3250"/>
    </row>
    <row r="37" spans="1:7" hidden="1">
      <c r="A37" s="1329">
        <v>4</v>
      </c>
      <c r="B37" s="1326" t="s">
        <v>1133</v>
      </c>
      <c r="C37" s="1326"/>
      <c r="D37" s="1326"/>
      <c r="E37" s="3250"/>
      <c r="F37" s="3250"/>
      <c r="G37" s="3250"/>
    </row>
    <row r="38" spans="1:7" hidden="1">
      <c r="A38" s="3246" t="s">
        <v>1134</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166180.56000000003</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7" t="s">
        <v>2535</v>
      </c>
      <c r="D4" s="3198"/>
      <c r="E4" s="3199" t="s">
        <v>2536</v>
      </c>
      <c r="F4" s="3200"/>
      <c r="G4" s="3197" t="s">
        <v>2537</v>
      </c>
      <c r="H4" s="3198"/>
      <c r="I4" s="3197" t="s">
        <v>2538</v>
      </c>
      <c r="J4" s="3198"/>
      <c r="K4" s="2598" t="s">
        <v>2539</v>
      </c>
      <c r="L4" s="1131"/>
      <c r="M4" s="1132"/>
      <c r="N4" s="1132"/>
      <c r="O4" s="1132"/>
      <c r="P4" s="3201" t="s">
        <v>2540</v>
      </c>
      <c r="Q4" s="3202"/>
      <c r="R4" s="3207" t="s">
        <v>2536</v>
      </c>
      <c r="S4" s="3208"/>
      <c r="T4" s="3207" t="s">
        <v>2537</v>
      </c>
      <c r="U4" s="3208"/>
      <c r="V4" s="3192" t="s">
        <v>2538</v>
      </c>
      <c r="W4" s="3192"/>
      <c r="X4" s="1813"/>
      <c r="Y4" s="3207" t="s">
        <v>2540</v>
      </c>
      <c r="Z4" s="3208"/>
      <c r="AA4" s="3194" t="s">
        <v>2536</v>
      </c>
      <c r="AB4" s="3194" t="s">
        <v>2537</v>
      </c>
      <c r="AC4" s="3194" t="s">
        <v>2538</v>
      </c>
    </row>
    <row r="5" spans="1:29" ht="15">
      <c r="A5" s="403"/>
      <c r="B5" s="404"/>
      <c r="C5" s="3215" t="s">
        <v>2541</v>
      </c>
      <c r="D5" s="3216"/>
      <c r="E5" s="3222" t="s">
        <v>2542</v>
      </c>
      <c r="F5" s="3223"/>
      <c r="G5" s="3215" t="s">
        <v>2543</v>
      </c>
      <c r="H5" s="3216"/>
      <c r="I5" s="3215" t="s">
        <v>2544</v>
      </c>
      <c r="J5" s="3216"/>
      <c r="K5" s="2599"/>
      <c r="L5" s="1131"/>
      <c r="M5" s="1132"/>
      <c r="N5" s="1132"/>
      <c r="O5" s="1132"/>
      <c r="P5" s="3203"/>
      <c r="Q5" s="3204"/>
      <c r="R5" s="3209"/>
      <c r="S5" s="3210"/>
      <c r="T5" s="3209"/>
      <c r="U5" s="3210"/>
      <c r="V5" s="3192"/>
      <c r="W5" s="3192"/>
      <c r="X5" s="1813"/>
      <c r="Y5" s="3209"/>
      <c r="Z5" s="3210"/>
      <c r="AA5" s="3195"/>
      <c r="AB5" s="3195"/>
      <c r="AC5" s="3195"/>
    </row>
    <row r="6" spans="1:29" ht="15.75" thickBot="1">
      <c r="A6" s="405"/>
      <c r="B6" s="406"/>
      <c r="C6" s="3213" t="s">
        <v>2545</v>
      </c>
      <c r="D6" s="3214"/>
      <c r="E6" s="3220" t="s">
        <v>2545</v>
      </c>
      <c r="F6" s="3221"/>
      <c r="G6" s="3213" t="s">
        <v>2545</v>
      </c>
      <c r="H6" s="3214"/>
      <c r="I6" s="3213" t="s">
        <v>2545</v>
      </c>
      <c r="J6" s="3214"/>
      <c r="K6" s="2599" t="s">
        <v>2546</v>
      </c>
      <c r="L6" s="1131"/>
      <c r="M6" s="1132"/>
      <c r="N6" s="1132"/>
      <c r="O6" s="1132"/>
      <c r="P6" s="3205"/>
      <c r="Q6" s="3206"/>
      <c r="R6" s="3209"/>
      <c r="S6" s="3210"/>
      <c r="T6" s="3211"/>
      <c r="U6" s="3212"/>
      <c r="V6" s="3192"/>
      <c r="W6" s="3192"/>
      <c r="X6" s="1813"/>
      <c r="Y6" s="3211"/>
      <c r="Z6" s="3212"/>
      <c r="AA6" s="3196"/>
      <c r="AB6" s="3196"/>
      <c r="AC6" s="3196"/>
    </row>
    <row r="7" spans="1:29" s="117" customFormat="1" ht="15.75" thickBot="1">
      <c r="A7" s="407" t="s">
        <v>2547</v>
      </c>
      <c r="B7" s="408"/>
      <c r="C7" s="409">
        <f>'数据-取费表'!B2</f>
        <v>43468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217" t="s">
        <v>2548</v>
      </c>
      <c r="Q7" s="3219"/>
      <c r="R7" s="769" t="s">
        <v>23</v>
      </c>
      <c r="S7" s="770">
        <f t="shared" ref="S7:S15" si="0">F7</f>
        <v>0</v>
      </c>
      <c r="T7" s="769" t="s">
        <v>23</v>
      </c>
      <c r="U7" s="770">
        <f t="shared" ref="U7:U15" si="1">H7</f>
        <v>0</v>
      </c>
      <c r="V7" s="769" t="s">
        <v>23</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217" t="s">
        <v>2551</v>
      </c>
      <c r="Q8" s="3218"/>
      <c r="R8" s="769" t="s">
        <v>23</v>
      </c>
      <c r="S8" s="770">
        <f t="shared" si="0"/>
        <v>0</v>
      </c>
      <c r="T8" s="769" t="s">
        <v>23</v>
      </c>
      <c r="U8" s="770">
        <f t="shared" si="1"/>
        <v>0</v>
      </c>
      <c r="V8" s="769" t="s">
        <v>23</v>
      </c>
      <c r="W8" s="770">
        <f t="shared" si="2"/>
        <v>0</v>
      </c>
      <c r="X8" s="771"/>
      <c r="Y8" s="3217" t="s">
        <v>2551</v>
      </c>
      <c r="Z8" s="3218"/>
      <c r="AA8" s="772" t="e">
        <f t="shared" ref="AA8:AA19" si="3">D8/F8</f>
        <v>#DIV/0!</v>
      </c>
      <c r="AB8" s="772" t="e">
        <f t="shared" ref="AB8:AB19" si="4">D8/H8</f>
        <v>#DIV/0!</v>
      </c>
      <c r="AC8" s="772" t="e">
        <f t="shared" ref="AC8:AC19" si="5">D8/J8</f>
        <v>#DIV/0!</v>
      </c>
    </row>
    <row r="9" spans="1:29" s="117" customFormat="1">
      <c r="A9" s="414" t="s">
        <v>2552</v>
      </c>
      <c r="B9" s="71" t="s">
        <v>2553</v>
      </c>
      <c r="C9" s="415"/>
      <c r="D9" s="135">
        <v>100</v>
      </c>
      <c r="E9" s="416"/>
      <c r="F9" s="417">
        <f>SUMIF(63:63,E9,64:64)-SUMIF(63:63,C9,64:64)+100</f>
        <v>100</v>
      </c>
      <c r="G9" s="418"/>
      <c r="H9" s="135">
        <f>SUMIF(63:63,G9,64:64)-SUMIF(63:63,C9,64:64)+100</f>
        <v>100</v>
      </c>
      <c r="I9" s="418"/>
      <c r="J9" s="135">
        <f>SUMIF(63:63,I9,64:64)-SUMIF(63:63,C9,64:64)+100</f>
        <v>100</v>
      </c>
      <c r="K9" s="2600"/>
      <c r="L9" s="1133"/>
      <c r="M9" s="1134"/>
      <c r="N9" s="1134"/>
      <c r="O9" s="1134"/>
      <c r="P9" s="3193"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425"/>
      <c r="L10" s="1136"/>
      <c r="M10" s="1137"/>
      <c r="N10" s="1137"/>
      <c r="O10" s="1137"/>
      <c r="P10" s="3193"/>
      <c r="Q10" s="1795"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9"/>
      <c r="M11" s="1132"/>
      <c r="N11" s="1132"/>
      <c r="O11" s="1132"/>
      <c r="P11" s="3193"/>
      <c r="Q11" s="1795"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3"/>
      <c r="M12" s="1134"/>
      <c r="N12" s="1134"/>
      <c r="O12" s="1134"/>
      <c r="P12" s="3193"/>
      <c r="Q12" s="1795">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3"/>
      <c r="Q13" s="1795">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3"/>
      <c r="Q14" s="1795">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9.75">
      <c r="A15" s="439" t="s">
        <v>2558</v>
      </c>
      <c r="B15" s="69"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83" t="s">
        <v>2559</v>
      </c>
      <c r="Q15" s="1810" t="str">
        <f t="shared" si="6"/>
        <v>居住社区成熟度</v>
      </c>
      <c r="R15" s="773" t="s">
        <v>21</v>
      </c>
      <c r="S15" s="774">
        <f t="shared" si="0"/>
        <v>100</v>
      </c>
      <c r="T15" s="773" t="s">
        <v>21</v>
      </c>
      <c r="U15" s="774">
        <f t="shared" si="1"/>
        <v>100</v>
      </c>
      <c r="V15" s="773" t="s">
        <v>21</v>
      </c>
      <c r="W15" s="774">
        <f t="shared" si="2"/>
        <v>100</v>
      </c>
      <c r="X15" s="1813"/>
      <c r="Y15" s="3185" t="s">
        <v>2559</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184"/>
      <c r="Q16" s="1810"/>
      <c r="R16" s="773"/>
      <c r="S16" s="774"/>
      <c r="T16" s="773"/>
      <c r="U16" s="774"/>
      <c r="V16" s="773"/>
      <c r="W16" s="774"/>
      <c r="X16" s="1813"/>
      <c r="Y16" s="3186"/>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84"/>
      <c r="Q17" s="1810" t="str">
        <f>B17</f>
        <v>交通便捷度</v>
      </c>
      <c r="R17" s="773" t="s">
        <v>21</v>
      </c>
      <c r="S17" s="774">
        <f>F17</f>
        <v>100</v>
      </c>
      <c r="T17" s="773" t="s">
        <v>21</v>
      </c>
      <c r="U17" s="774">
        <f>H17</f>
        <v>100</v>
      </c>
      <c r="V17" s="773" t="s">
        <v>21</v>
      </c>
      <c r="W17" s="774">
        <f>J17</f>
        <v>100</v>
      </c>
      <c r="X17" s="1813"/>
      <c r="Y17" s="3186"/>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184"/>
      <c r="Q18" s="1810"/>
      <c r="R18" s="773"/>
      <c r="S18" s="774"/>
      <c r="T18" s="773"/>
      <c r="U18" s="774"/>
      <c r="V18" s="773"/>
      <c r="W18" s="774"/>
      <c r="X18" s="1813"/>
      <c r="Y18" s="3186"/>
      <c r="Z18" s="1814"/>
      <c r="AA18" s="1811">
        <v>1</v>
      </c>
      <c r="AB18" s="1811">
        <v>1</v>
      </c>
      <c r="AC18" s="1811">
        <v>1</v>
      </c>
    </row>
    <row r="19" spans="1:29" ht="42.75">
      <c r="A19" s="427"/>
      <c r="B19" s="450" t="s">
        <v>2099</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84"/>
      <c r="Q19" s="1810" t="str">
        <f>B19</f>
        <v>公共配套设施</v>
      </c>
      <c r="R19" s="773" t="s">
        <v>21</v>
      </c>
      <c r="S19" s="774">
        <f>F19</f>
        <v>100</v>
      </c>
      <c r="T19" s="773" t="s">
        <v>21</v>
      </c>
      <c r="U19" s="774">
        <f>H19</f>
        <v>100</v>
      </c>
      <c r="V19" s="773" t="s">
        <v>21</v>
      </c>
      <c r="W19" s="774">
        <f>J19</f>
        <v>100</v>
      </c>
      <c r="X19" s="1813"/>
      <c r="Y19" s="3186"/>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184"/>
      <c r="Q20" s="1810"/>
      <c r="R20" s="773"/>
      <c r="S20" s="774"/>
      <c r="T20" s="773"/>
      <c r="U20" s="774"/>
      <c r="V20" s="773"/>
      <c r="W20" s="774"/>
      <c r="X20" s="1813"/>
      <c r="Y20" s="3186"/>
      <c r="Z20" s="1814"/>
      <c r="AA20" s="1811">
        <v>1</v>
      </c>
      <c r="AB20" s="1811">
        <v>1</v>
      </c>
      <c r="AC20" s="1811">
        <v>1</v>
      </c>
    </row>
    <row r="21" spans="1:29" ht="28.5">
      <c r="A21" s="427"/>
      <c r="B21" s="1385" t="s">
        <v>2102</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84"/>
      <c r="Q21" s="1810" t="str">
        <f>B21</f>
        <v>基础设施水平</v>
      </c>
      <c r="R21" s="773" t="s">
        <v>17</v>
      </c>
      <c r="S21" s="774">
        <f>F21</f>
        <v>100</v>
      </c>
      <c r="T21" s="773" t="s">
        <v>17</v>
      </c>
      <c r="U21" s="774">
        <f>H21</f>
        <v>100</v>
      </c>
      <c r="V21" s="773" t="s">
        <v>17</v>
      </c>
      <c r="W21" s="774">
        <f>J21</f>
        <v>100</v>
      </c>
      <c r="X21" s="1813"/>
      <c r="Y21" s="318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184"/>
      <c r="Q22" s="1810"/>
      <c r="R22" s="773"/>
      <c r="S22" s="774"/>
      <c r="T22" s="773"/>
      <c r="U22" s="774"/>
      <c r="V22" s="773"/>
      <c r="W22" s="774"/>
      <c r="X22" s="1813"/>
      <c r="Y22" s="3186"/>
      <c r="Z22" s="1814"/>
      <c r="AA22" s="1811">
        <v>1</v>
      </c>
      <c r="AB22" s="1811">
        <v>1</v>
      </c>
      <c r="AC22" s="1811">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84"/>
      <c r="Q23" s="1810" t="str">
        <f>B23</f>
        <v>自然及人文环境</v>
      </c>
      <c r="R23" s="773" t="s">
        <v>21</v>
      </c>
      <c r="S23" s="774">
        <f>F23</f>
        <v>100</v>
      </c>
      <c r="T23" s="773" t="s">
        <v>21</v>
      </c>
      <c r="U23" s="774">
        <f>H23</f>
        <v>100</v>
      </c>
      <c r="V23" s="773" t="s">
        <v>21</v>
      </c>
      <c r="W23" s="774">
        <f>J23</f>
        <v>100</v>
      </c>
      <c r="X23" s="1813"/>
      <c r="Y23" s="3186"/>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184"/>
      <c r="Q24" s="1810"/>
      <c r="R24" s="773"/>
      <c r="S24" s="774"/>
      <c r="T24" s="773"/>
      <c r="U24" s="774"/>
      <c r="V24" s="773"/>
      <c r="W24" s="774"/>
      <c r="X24" s="1813"/>
      <c r="Y24" s="3186"/>
      <c r="Z24" s="1814"/>
      <c r="AA24" s="1811">
        <v>1</v>
      </c>
      <c r="AB24" s="1811">
        <v>1</v>
      </c>
      <c r="AC24" s="1811">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184"/>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86"/>
      <c r="Z25" s="1814" t="str">
        <f>Q25</f>
        <v>楼层-1</v>
      </c>
      <c r="AA25" s="1811">
        <f t="shared" ref="AA25:AA46" si="15">D25/F25</f>
        <v>1</v>
      </c>
      <c r="AB25" s="1811">
        <f t="shared" ref="AB25:AB46" si="16">D25/H25</f>
        <v>1</v>
      </c>
      <c r="AC25" s="1811">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184"/>
      <c r="Q26" s="1810" t="str">
        <f t="shared" si="11"/>
        <v>朝向</v>
      </c>
      <c r="R26" s="773" t="s">
        <v>21</v>
      </c>
      <c r="S26" s="774">
        <f t="shared" si="12"/>
        <v>100</v>
      </c>
      <c r="T26" s="773" t="s">
        <v>21</v>
      </c>
      <c r="U26" s="774">
        <f t="shared" si="13"/>
        <v>100</v>
      </c>
      <c r="V26" s="773" t="s">
        <v>21</v>
      </c>
      <c r="W26" s="774">
        <f t="shared" si="14"/>
        <v>100</v>
      </c>
      <c r="X26" s="1813"/>
      <c r="Y26" s="3186"/>
      <c r="Z26" s="1814" t="str">
        <f>Q26</f>
        <v>朝向</v>
      </c>
      <c r="AA26" s="1811">
        <f t="shared" si="15"/>
        <v>1</v>
      </c>
      <c r="AB26" s="1811">
        <f t="shared" si="16"/>
        <v>1</v>
      </c>
      <c r="AC26" s="1811">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184"/>
      <c r="Q27" s="1795">
        <f t="shared" si="11"/>
        <v>111</v>
      </c>
      <c r="R27" s="769" t="s">
        <v>21</v>
      </c>
      <c r="S27" s="770">
        <f t="shared" si="12"/>
        <v>100</v>
      </c>
      <c r="T27" s="769" t="s">
        <v>21</v>
      </c>
      <c r="U27" s="770">
        <f t="shared" si="13"/>
        <v>100</v>
      </c>
      <c r="V27" s="769" t="s">
        <v>21</v>
      </c>
      <c r="W27" s="770">
        <f t="shared" si="14"/>
        <v>100</v>
      </c>
      <c r="X27" s="771"/>
      <c r="Y27" s="3186"/>
      <c r="Z27" s="55">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184"/>
      <c r="Q28" s="1810">
        <f t="shared" si="11"/>
        <v>111</v>
      </c>
      <c r="R28" s="773" t="s">
        <v>21</v>
      </c>
      <c r="S28" s="774">
        <f t="shared" si="12"/>
        <v>100</v>
      </c>
      <c r="T28" s="773" t="s">
        <v>21</v>
      </c>
      <c r="U28" s="774">
        <f t="shared" si="13"/>
        <v>100</v>
      </c>
      <c r="V28" s="773" t="s">
        <v>21</v>
      </c>
      <c r="W28" s="774">
        <f t="shared" si="14"/>
        <v>100</v>
      </c>
      <c r="X28" s="1813"/>
      <c r="Y28" s="3186"/>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184"/>
      <c r="Q29" s="1810">
        <f t="shared" si="11"/>
        <v>111</v>
      </c>
      <c r="R29" s="773" t="s">
        <v>21</v>
      </c>
      <c r="S29" s="774">
        <f t="shared" si="12"/>
        <v>100</v>
      </c>
      <c r="T29" s="773" t="s">
        <v>21</v>
      </c>
      <c r="U29" s="774">
        <f t="shared" si="13"/>
        <v>100</v>
      </c>
      <c r="V29" s="773" t="s">
        <v>21</v>
      </c>
      <c r="W29" s="774">
        <f t="shared" si="14"/>
        <v>100</v>
      </c>
      <c r="X29" s="1813"/>
      <c r="Y29" s="3186"/>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184"/>
      <c r="Q30" s="1810">
        <f t="shared" si="11"/>
        <v>111</v>
      </c>
      <c r="R30" s="773" t="s">
        <v>21</v>
      </c>
      <c r="S30" s="774">
        <f t="shared" si="12"/>
        <v>100</v>
      </c>
      <c r="T30" s="773" t="s">
        <v>21</v>
      </c>
      <c r="U30" s="774">
        <f t="shared" si="13"/>
        <v>100</v>
      </c>
      <c r="V30" s="773" t="s">
        <v>21</v>
      </c>
      <c r="W30" s="774">
        <f t="shared" si="14"/>
        <v>100</v>
      </c>
      <c r="X30" s="1813"/>
      <c r="Y30" s="3186"/>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184"/>
      <c r="Q31" s="1810">
        <f t="shared" si="11"/>
        <v>111</v>
      </c>
      <c r="R31" s="773" t="s">
        <v>21</v>
      </c>
      <c r="S31" s="774">
        <f t="shared" si="12"/>
        <v>100</v>
      </c>
      <c r="T31" s="773" t="s">
        <v>21</v>
      </c>
      <c r="U31" s="774">
        <f t="shared" si="13"/>
        <v>100</v>
      </c>
      <c r="V31" s="773" t="s">
        <v>21</v>
      </c>
      <c r="W31" s="774">
        <f t="shared" si="14"/>
        <v>100</v>
      </c>
      <c r="X31" s="1813"/>
      <c r="Y31" s="3186"/>
      <c r="Z31" s="1814">
        <f t="shared" si="18"/>
        <v>111</v>
      </c>
      <c r="AA31" s="1811">
        <f t="shared" si="15"/>
        <v>1</v>
      </c>
      <c r="AB31" s="1811">
        <f t="shared" si="16"/>
        <v>1</v>
      </c>
      <c r="AC31" s="1811">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187" t="s">
        <v>2564</v>
      </c>
      <c r="Q32" s="1810" t="str">
        <f t="shared" si="11"/>
        <v>建筑类型</v>
      </c>
      <c r="R32" s="773" t="s">
        <v>21</v>
      </c>
      <c r="S32" s="774">
        <f t="shared" si="12"/>
        <v>100</v>
      </c>
      <c r="T32" s="773" t="s">
        <v>21</v>
      </c>
      <c r="U32" s="774">
        <f t="shared" si="13"/>
        <v>100</v>
      </c>
      <c r="V32" s="773" t="s">
        <v>21</v>
      </c>
      <c r="W32" s="774">
        <f t="shared" si="14"/>
        <v>100</v>
      </c>
      <c r="X32" s="1813"/>
      <c r="Y32" s="3190" t="s">
        <v>2564</v>
      </c>
      <c r="Z32" s="1814" t="str">
        <f t="shared" si="18"/>
        <v>建筑类型</v>
      </c>
      <c r="AA32" s="1811">
        <f t="shared" si="15"/>
        <v>1</v>
      </c>
      <c r="AB32" s="1811">
        <f t="shared" si="16"/>
        <v>1</v>
      </c>
      <c r="AC32" s="1811">
        <f t="shared" si="17"/>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39"/>
      <c r="M33" s="1142"/>
      <c r="N33" s="1142"/>
      <c r="O33" s="1142"/>
      <c r="P33" s="3188"/>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1" t="e">
        <f t="shared" si="15"/>
        <v>#N/A</v>
      </c>
      <c r="AB33" s="1811" t="e">
        <f t="shared" si="16"/>
        <v>#N/A</v>
      </c>
      <c r="AC33" s="1811"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188"/>
      <c r="Q34" s="1810" t="str">
        <f t="shared" si="11"/>
        <v>建筑结构</v>
      </c>
      <c r="R34" s="773" t="s">
        <v>21</v>
      </c>
      <c r="S34" s="774">
        <f t="shared" si="12"/>
        <v>100</v>
      </c>
      <c r="T34" s="773" t="s">
        <v>21</v>
      </c>
      <c r="U34" s="774">
        <f t="shared" si="13"/>
        <v>100</v>
      </c>
      <c r="V34" s="773" t="s">
        <v>21</v>
      </c>
      <c r="W34" s="774">
        <f t="shared" si="14"/>
        <v>100</v>
      </c>
      <c r="X34" s="1813"/>
      <c r="Y34" s="3190"/>
      <c r="Z34" s="1814" t="str">
        <f t="shared" si="18"/>
        <v>建筑结构</v>
      </c>
      <c r="AA34" s="1811">
        <f t="shared" si="15"/>
        <v>1</v>
      </c>
      <c r="AB34" s="1811">
        <f t="shared" si="16"/>
        <v>1</v>
      </c>
      <c r="AC34" s="1811">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188"/>
      <c r="Q35" s="1810" t="str">
        <f t="shared" si="11"/>
        <v>建筑品质</v>
      </c>
      <c r="R35" s="773" t="s">
        <v>21</v>
      </c>
      <c r="S35" s="774">
        <f t="shared" si="12"/>
        <v>100</v>
      </c>
      <c r="T35" s="773" t="s">
        <v>21</v>
      </c>
      <c r="U35" s="774">
        <f t="shared" si="13"/>
        <v>100</v>
      </c>
      <c r="V35" s="773" t="s">
        <v>21</v>
      </c>
      <c r="W35" s="774">
        <f t="shared" si="14"/>
        <v>100</v>
      </c>
      <c r="X35" s="1813"/>
      <c r="Y35" s="3190"/>
      <c r="Z35" s="1814" t="str">
        <f t="shared" si="18"/>
        <v>建筑品质</v>
      </c>
      <c r="AA35" s="1811">
        <f t="shared" si="15"/>
        <v>1</v>
      </c>
      <c r="AB35" s="1811">
        <f t="shared" si="16"/>
        <v>1</v>
      </c>
      <c r="AC35" s="1811">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188"/>
      <c r="Q36" s="1810" t="str">
        <f t="shared" si="11"/>
        <v>公共部分装修</v>
      </c>
      <c r="R36" s="773" t="s">
        <v>21</v>
      </c>
      <c r="S36" s="774">
        <f t="shared" si="12"/>
        <v>100</v>
      </c>
      <c r="T36" s="773" t="s">
        <v>21</v>
      </c>
      <c r="U36" s="774">
        <f t="shared" si="13"/>
        <v>100</v>
      </c>
      <c r="V36" s="773" t="s">
        <v>21</v>
      </c>
      <c r="W36" s="774">
        <f t="shared" si="14"/>
        <v>100</v>
      </c>
      <c r="X36" s="1813"/>
      <c r="Y36" s="3190"/>
      <c r="Z36" s="1814" t="str">
        <f t="shared" si="18"/>
        <v>公共部分装修</v>
      </c>
      <c r="AA36" s="1811">
        <f t="shared" si="15"/>
        <v>1</v>
      </c>
      <c r="AB36" s="1811">
        <f t="shared" si="16"/>
        <v>1</v>
      </c>
      <c r="AC36" s="1811">
        <f t="shared" si="17"/>
        <v>1</v>
      </c>
    </row>
    <row r="37" spans="1:29" s="117" customFormat="1" ht="15">
      <c r="A37" s="472"/>
      <c r="B37" s="421" t="s">
        <v>2569</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3"/>
      <c r="M37" s="1134"/>
      <c r="N37" s="1134"/>
      <c r="O37" s="1134"/>
      <c r="P37" s="3188"/>
      <c r="Q37" s="1795" t="str">
        <f t="shared" si="11"/>
        <v>成新度</v>
      </c>
      <c r="R37" s="769" t="s">
        <v>21</v>
      </c>
      <c r="S37" s="770" t="e">
        <f t="shared" si="12"/>
        <v>#N/A</v>
      </c>
      <c r="T37" s="769" t="s">
        <v>21</v>
      </c>
      <c r="U37" s="770" t="e">
        <f t="shared" si="13"/>
        <v>#N/A</v>
      </c>
      <c r="V37" s="769" t="s">
        <v>21</v>
      </c>
      <c r="W37" s="770" t="e">
        <f t="shared" si="14"/>
        <v>#N/A</v>
      </c>
      <c r="X37" s="771"/>
      <c r="Y37" s="3190"/>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188" t="s">
        <v>2564</v>
      </c>
      <c r="Q38" s="1810" t="str">
        <f t="shared" si="11"/>
        <v>物业管理</v>
      </c>
      <c r="R38" s="773" t="s">
        <v>21</v>
      </c>
      <c r="S38" s="774">
        <f t="shared" si="12"/>
        <v>100</v>
      </c>
      <c r="T38" s="773" t="s">
        <v>21</v>
      </c>
      <c r="U38" s="774">
        <f t="shared" si="13"/>
        <v>100</v>
      </c>
      <c r="V38" s="773" t="s">
        <v>21</v>
      </c>
      <c r="W38" s="774">
        <f t="shared" si="14"/>
        <v>100</v>
      </c>
      <c r="X38" s="1813"/>
      <c r="Y38" s="3190" t="s">
        <v>2564</v>
      </c>
      <c r="Z38" s="1814" t="str">
        <f t="shared" si="18"/>
        <v>物业管理</v>
      </c>
      <c r="AA38" s="1811">
        <f t="shared" si="15"/>
        <v>1</v>
      </c>
      <c r="AB38" s="1811">
        <f t="shared" si="16"/>
        <v>1</v>
      </c>
      <c r="AC38" s="1811">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188"/>
      <c r="Q39" s="1810" t="str">
        <f t="shared" si="11"/>
        <v>市政基础设施</v>
      </c>
      <c r="R39" s="773" t="s">
        <v>21</v>
      </c>
      <c r="S39" s="774">
        <f t="shared" si="12"/>
        <v>100</v>
      </c>
      <c r="T39" s="773" t="s">
        <v>21</v>
      </c>
      <c r="U39" s="774">
        <f t="shared" si="13"/>
        <v>100</v>
      </c>
      <c r="V39" s="773" t="s">
        <v>21</v>
      </c>
      <c r="W39" s="774">
        <f t="shared" si="14"/>
        <v>100</v>
      </c>
      <c r="X39" s="1813"/>
      <c r="Y39" s="3190"/>
      <c r="Z39" s="1814" t="str">
        <f t="shared" si="18"/>
        <v>市政基础设施</v>
      </c>
      <c r="AA39" s="1811">
        <f t="shared" si="15"/>
        <v>1</v>
      </c>
      <c r="AB39" s="1811">
        <f t="shared" si="16"/>
        <v>1</v>
      </c>
      <c r="AC39" s="1811">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188"/>
      <c r="Q40" s="1810" t="str">
        <f t="shared" si="11"/>
        <v>房型</v>
      </c>
      <c r="R40" s="773" t="s">
        <v>21</v>
      </c>
      <c r="S40" s="774">
        <f t="shared" si="12"/>
        <v>100</v>
      </c>
      <c r="T40" s="773" t="s">
        <v>21</v>
      </c>
      <c r="U40" s="774">
        <f t="shared" si="13"/>
        <v>100</v>
      </c>
      <c r="V40" s="773" t="s">
        <v>21</v>
      </c>
      <c r="W40" s="774">
        <f t="shared" si="14"/>
        <v>100</v>
      </c>
      <c r="X40" s="1813"/>
      <c r="Y40" s="3190"/>
      <c r="Z40" s="1814" t="str">
        <f t="shared" si="18"/>
        <v>房型</v>
      </c>
      <c r="AA40" s="1811">
        <f t="shared" si="15"/>
        <v>1</v>
      </c>
      <c r="AB40" s="1811">
        <f t="shared" si="16"/>
        <v>1</v>
      </c>
      <c r="AC40" s="1811">
        <f t="shared" si="17"/>
        <v>1</v>
      </c>
    </row>
    <row r="41" spans="1:29" s="470" customFormat="1" ht="28.5">
      <c r="A41" s="467"/>
      <c r="B41" s="421" t="s">
        <v>2573</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9"/>
      <c r="M41" s="1142"/>
      <c r="N41" s="1142"/>
      <c r="O41" s="1142"/>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1">
        <f t="shared" si="15"/>
        <v>1</v>
      </c>
      <c r="AB41" s="1811">
        <f t="shared" si="16"/>
        <v>1</v>
      </c>
      <c r="AC41" s="1811">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188"/>
      <c r="Q42" s="1810" t="str">
        <f t="shared" si="11"/>
        <v>内部装修</v>
      </c>
      <c r="R42" s="773" t="s">
        <v>21</v>
      </c>
      <c r="S42" s="774">
        <f t="shared" si="12"/>
        <v>100</v>
      </c>
      <c r="T42" s="773" t="s">
        <v>21</v>
      </c>
      <c r="U42" s="774">
        <f t="shared" si="13"/>
        <v>100</v>
      </c>
      <c r="V42" s="773" t="s">
        <v>21</v>
      </c>
      <c r="W42" s="774">
        <f t="shared" si="14"/>
        <v>100</v>
      </c>
      <c r="X42" s="1813"/>
      <c r="Y42" s="3190"/>
      <c r="Z42" s="1814" t="str">
        <f t="shared" si="18"/>
        <v>内部装修</v>
      </c>
      <c r="AA42" s="1811">
        <f t="shared" si="15"/>
        <v>1</v>
      </c>
      <c r="AB42" s="1811">
        <f t="shared" si="16"/>
        <v>1</v>
      </c>
      <c r="AC42" s="1811">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188"/>
      <c r="Q43" s="1810" t="str">
        <f t="shared" si="11"/>
        <v>内部装修维护情况</v>
      </c>
      <c r="R43" s="773" t="s">
        <v>21</v>
      </c>
      <c r="S43" s="774">
        <f t="shared" si="12"/>
        <v>100</v>
      </c>
      <c r="T43" s="773" t="s">
        <v>21</v>
      </c>
      <c r="U43" s="774">
        <f t="shared" si="13"/>
        <v>100</v>
      </c>
      <c r="V43" s="773" t="s">
        <v>21</v>
      </c>
      <c r="W43" s="774">
        <f t="shared" si="14"/>
        <v>100</v>
      </c>
      <c r="X43" s="1813"/>
      <c r="Y43" s="3190"/>
      <c r="Z43" s="1814" t="str">
        <f t="shared" si="18"/>
        <v>内部装修维护情况</v>
      </c>
      <c r="AA43" s="1811">
        <f t="shared" si="15"/>
        <v>1</v>
      </c>
      <c r="AB43" s="1811">
        <f t="shared" si="16"/>
        <v>1</v>
      </c>
      <c r="AC43" s="1811">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3"/>
      <c r="M44" s="1134"/>
      <c r="N44" s="1134"/>
      <c r="O44" s="1134"/>
      <c r="P44" s="3188"/>
      <c r="Q44" s="1795">
        <f t="shared" si="11"/>
        <v>111</v>
      </c>
      <c r="R44" s="769" t="s">
        <v>21</v>
      </c>
      <c r="S44" s="770">
        <f t="shared" si="12"/>
        <v>100</v>
      </c>
      <c r="T44" s="769" t="s">
        <v>21</v>
      </c>
      <c r="U44" s="770">
        <f t="shared" si="13"/>
        <v>100</v>
      </c>
      <c r="V44" s="769" t="s">
        <v>21</v>
      </c>
      <c r="W44" s="770">
        <f t="shared" si="14"/>
        <v>100</v>
      </c>
      <c r="X44" s="771"/>
      <c r="Y44" s="3190"/>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188"/>
      <c r="Q45" s="1810">
        <f t="shared" si="11"/>
        <v>111</v>
      </c>
      <c r="R45" s="773" t="s">
        <v>21</v>
      </c>
      <c r="S45" s="774">
        <f t="shared" si="12"/>
        <v>100</v>
      </c>
      <c r="T45" s="773" t="s">
        <v>21</v>
      </c>
      <c r="U45" s="774">
        <f t="shared" si="13"/>
        <v>100</v>
      </c>
      <c r="V45" s="773" t="s">
        <v>21</v>
      </c>
      <c r="W45" s="774">
        <f t="shared" si="14"/>
        <v>100</v>
      </c>
      <c r="X45" s="1813"/>
      <c r="Y45" s="3190"/>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189"/>
      <c r="Q46" s="1810">
        <f t="shared" si="11"/>
        <v>111</v>
      </c>
      <c r="R46" s="773" t="s">
        <v>20</v>
      </c>
      <c r="S46" s="774">
        <f t="shared" si="12"/>
        <v>100</v>
      </c>
      <c r="T46" s="773" t="s">
        <v>20</v>
      </c>
      <c r="U46" s="774">
        <f t="shared" si="13"/>
        <v>100</v>
      </c>
      <c r="V46" s="773" t="s">
        <v>20</v>
      </c>
      <c r="W46" s="774">
        <f t="shared" si="14"/>
        <v>100</v>
      </c>
      <c r="X46" s="1813"/>
      <c r="Y46" s="3191"/>
      <c r="Z46" s="1814">
        <f t="shared" si="18"/>
        <v>111</v>
      </c>
      <c r="AA46" s="1811">
        <f t="shared" si="15"/>
        <v>1</v>
      </c>
      <c r="AB46" s="1811">
        <f t="shared" si="16"/>
        <v>1</v>
      </c>
      <c r="AC46" s="1811">
        <f t="shared" si="17"/>
        <v>1</v>
      </c>
    </row>
    <row r="47" spans="1:29" ht="15">
      <c r="A47" s="478" t="s">
        <v>2576</v>
      </c>
      <c r="B47" s="479"/>
      <c r="C47" s="1408" t="s">
        <v>19</v>
      </c>
      <c r="D47" s="1409"/>
      <c r="E47" s="1410"/>
      <c r="F47" s="1411"/>
      <c r="G47" s="1412"/>
      <c r="H47" s="1413"/>
      <c r="I47" s="1410"/>
      <c r="J47" s="1413"/>
      <c r="K47" s="2623"/>
      <c r="L47" s="1144"/>
      <c r="M47" s="1145"/>
      <c r="N47" s="1132"/>
      <c r="O47" s="1145"/>
      <c r="P47" s="3178" t="str">
        <f>A47</f>
        <v>成交单价（元/平方米）</v>
      </c>
      <c r="Q47" s="3178"/>
      <c r="R47" s="3179">
        <f>E47</f>
        <v>0</v>
      </c>
      <c r="S47" s="3179"/>
      <c r="T47" s="3179">
        <f>G47</f>
        <v>0</v>
      </c>
      <c r="U47" s="3179"/>
      <c r="V47" s="3179">
        <f>I47</f>
        <v>0</v>
      </c>
      <c r="W47" s="3179"/>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1"/>
    </row>
    <row r="59" spans="1:29" s="117" customFormat="1" ht="15">
      <c r="A59" s="508"/>
      <c r="B59" s="2629"/>
      <c r="C59" s="1573">
        <v>100</v>
      </c>
      <c r="D59" s="510"/>
      <c r="E59" s="511"/>
      <c r="F59" s="511"/>
      <c r="G59" s="511"/>
      <c r="H59" s="511"/>
      <c r="I59" s="511"/>
      <c r="J59" s="511"/>
      <c r="K59" s="511"/>
      <c r="L59" s="511"/>
      <c r="M59" s="512"/>
      <c r="N59" s="511"/>
      <c r="O59" s="512"/>
      <c r="P59" s="2630"/>
    </row>
    <row r="60" spans="1:29" s="117" customFormat="1" ht="15.75" thickBot="1">
      <c r="A60" s="514" t="s">
        <v>2584</v>
      </c>
      <c r="B60" s="515"/>
      <c r="C60" s="516"/>
      <c r="D60" s="517"/>
      <c r="E60" s="517"/>
      <c r="F60" s="517"/>
      <c r="G60" s="517"/>
      <c r="H60" s="517"/>
      <c r="I60" s="517"/>
      <c r="J60" s="517"/>
      <c r="K60" s="517"/>
      <c r="L60" s="517"/>
      <c r="M60" s="518"/>
      <c r="N60" s="517"/>
      <c r="O60" s="518"/>
      <c r="P60" s="2630"/>
      <c r="Q60" s="503"/>
    </row>
    <row r="61" spans="1:29" s="117" customFormat="1" ht="15">
      <c r="A61" s="520" t="s">
        <v>2585</v>
      </c>
      <c r="B61" s="509"/>
      <c r="C61" s="521" t="s">
        <v>2586</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2102</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2609</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7" customFormat="1" ht="15.75" thickTop="1">
      <c r="A88" s="578"/>
      <c r="B88" s="537" t="s">
        <v>2610</v>
      </c>
      <c r="C88" s="553"/>
      <c r="D88" s="553"/>
      <c r="E88" s="553"/>
      <c r="F88" s="2637"/>
      <c r="G88" s="553"/>
      <c r="H88" s="553"/>
      <c r="I88" s="553"/>
      <c r="J88" s="553"/>
      <c r="K88" s="553"/>
      <c r="L88" s="553"/>
      <c r="M88" s="580"/>
      <c r="N88" s="1152"/>
      <c r="O88" s="1152"/>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t="e">
        <f ca="1">IF(C2="——",ROUND(C43*D3/10000,0),ROUND(C43*D3/10000,0)-D2)</f>
        <v>#DIV/0!</v>
      </c>
      <c r="C2" s="2588"/>
      <c r="D2" s="1125" t="e">
        <f ca="1">SUMIF(INDIRECT("'"&amp;F2&amp;"'"&amp;"!A:A"),"承租人权益价值",INDIRECT("'"&amp;F2&amp;"'"&amp;"!c:c"))</f>
        <v>#REF!</v>
      </c>
      <c r="E2" s="2589" t="s">
        <v>2327</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166180.56000000003</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3"/>
      <c r="Y6" s="3211"/>
      <c r="Z6" s="3212"/>
      <c r="AA6" s="3196"/>
      <c r="AB6" s="3196"/>
      <c r="AC6" s="3196"/>
    </row>
    <row r="7" spans="1:29" s="117" customFormat="1" ht="15.75" thickBot="1">
      <c r="A7" s="407" t="s">
        <v>2547</v>
      </c>
      <c r="B7" s="408"/>
      <c r="C7" s="409">
        <f>'数据-取费表'!B2</f>
        <v>43468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0" si="3">D8/F8</f>
        <v>#DIV/0!</v>
      </c>
      <c r="AB8" s="772" t="e">
        <f t="shared" ref="AB8:AB40" si="4">D8/H8</f>
        <v>#DIV/0!</v>
      </c>
      <c r="AC8" s="772" t="e">
        <f t="shared" ref="AC8:AC40" si="5">D8/J8</f>
        <v>#DIV/0!</v>
      </c>
    </row>
    <row r="9" spans="1:29" s="117" customFormat="1">
      <c r="A9" s="414" t="s">
        <v>2552</v>
      </c>
      <c r="B9" s="71" t="s">
        <v>2553</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178"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178"/>
      <c r="Q10" s="1795"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178"/>
      <c r="Q11" s="1795"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3"/>
      <c r="M12" s="1134"/>
      <c r="N12" s="1134"/>
      <c r="O12" s="1135"/>
      <c r="P12" s="3178"/>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1"/>
      <c r="M13" s="1132"/>
      <c r="N13" s="1132"/>
      <c r="O13" s="1140"/>
      <c r="P13" s="3178"/>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78"/>
      <c r="Q14" s="1795">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85" t="s">
        <v>2559</v>
      </c>
      <c r="Q15" s="1810" t="str">
        <f t="shared" si="6"/>
        <v>产业集聚程度</v>
      </c>
      <c r="R15" s="773" t="s">
        <v>17</v>
      </c>
      <c r="S15" s="774">
        <f t="shared" si="0"/>
        <v>100</v>
      </c>
      <c r="T15" s="773" t="s">
        <v>17</v>
      </c>
      <c r="U15" s="774">
        <f t="shared" si="1"/>
        <v>100</v>
      </c>
      <c r="V15" s="773" t="s">
        <v>17</v>
      </c>
      <c r="W15" s="774">
        <f t="shared" si="2"/>
        <v>100</v>
      </c>
      <c r="X15" s="1813"/>
      <c r="Y15" s="3185" t="s">
        <v>2559</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186"/>
      <c r="Q16" s="1810"/>
      <c r="R16" s="773"/>
      <c r="S16" s="774"/>
      <c r="T16" s="773"/>
      <c r="U16" s="774"/>
      <c r="V16" s="773"/>
      <c r="W16" s="774"/>
      <c r="X16" s="1813"/>
      <c r="Y16" s="3186"/>
      <c r="Z16" s="1814"/>
      <c r="AA16" s="1811">
        <v>1</v>
      </c>
      <c r="AB16" s="1811">
        <v>1</v>
      </c>
      <c r="AC16" s="1811">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86"/>
      <c r="Q17" s="1810" t="str">
        <f>B17</f>
        <v>交通便捷度</v>
      </c>
      <c r="R17" s="773" t="s">
        <v>17</v>
      </c>
      <c r="S17" s="774">
        <f>F17</f>
        <v>100</v>
      </c>
      <c r="T17" s="773" t="s">
        <v>17</v>
      </c>
      <c r="U17" s="774">
        <f>H17</f>
        <v>100</v>
      </c>
      <c r="V17" s="773" t="s">
        <v>17</v>
      </c>
      <c r="W17" s="774">
        <f>J17</f>
        <v>100</v>
      </c>
      <c r="X17" s="1813"/>
      <c r="Y17" s="318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186"/>
      <c r="Q18" s="1810"/>
      <c r="R18" s="773"/>
      <c r="S18" s="774"/>
      <c r="T18" s="773"/>
      <c r="U18" s="774"/>
      <c r="V18" s="773"/>
      <c r="W18" s="774"/>
      <c r="X18" s="1813"/>
      <c r="Y18" s="3186"/>
      <c r="Z18" s="1814"/>
      <c r="AA18" s="1811">
        <v>1</v>
      </c>
      <c r="AB18" s="1811">
        <v>1</v>
      </c>
      <c r="AC18" s="1811">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86"/>
      <c r="Q19" s="1810" t="str">
        <f>B19</f>
        <v>公共配套设施</v>
      </c>
      <c r="R19" s="773" t="s">
        <v>17</v>
      </c>
      <c r="S19" s="774">
        <f>F19</f>
        <v>100</v>
      </c>
      <c r="T19" s="773" t="s">
        <v>17</v>
      </c>
      <c r="U19" s="774">
        <f>H19</f>
        <v>100</v>
      </c>
      <c r="V19" s="773" t="s">
        <v>17</v>
      </c>
      <c r="W19" s="774">
        <f>J19</f>
        <v>100</v>
      </c>
      <c r="X19" s="1813"/>
      <c r="Y19" s="318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186"/>
      <c r="Q20" s="1810"/>
      <c r="R20" s="773"/>
      <c r="S20" s="774"/>
      <c r="T20" s="773"/>
      <c r="U20" s="774"/>
      <c r="V20" s="773"/>
      <c r="W20" s="774"/>
      <c r="X20" s="1813"/>
      <c r="Y20" s="3186"/>
      <c r="Z20" s="1814"/>
      <c r="AA20" s="1811">
        <v>1</v>
      </c>
      <c r="AB20" s="1811">
        <v>1</v>
      </c>
      <c r="AC20" s="1811">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86"/>
      <c r="Q21" s="1810" t="str">
        <f>B21</f>
        <v>基础设施水平</v>
      </c>
      <c r="R21" s="773" t="s">
        <v>17</v>
      </c>
      <c r="S21" s="774">
        <f>F21</f>
        <v>100</v>
      </c>
      <c r="T21" s="773" t="s">
        <v>17</v>
      </c>
      <c r="U21" s="774">
        <f>H21</f>
        <v>100</v>
      </c>
      <c r="V21" s="773" t="s">
        <v>17</v>
      </c>
      <c r="W21" s="774">
        <f>J21</f>
        <v>100</v>
      </c>
      <c r="X21" s="1813"/>
      <c r="Y21" s="318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186"/>
      <c r="Q22" s="1810"/>
      <c r="R22" s="773"/>
      <c r="S22" s="774"/>
      <c r="T22" s="773"/>
      <c r="U22" s="774"/>
      <c r="V22" s="773"/>
      <c r="W22" s="774"/>
      <c r="X22" s="1813"/>
      <c r="Y22" s="3186"/>
      <c r="Z22" s="1814"/>
      <c r="AA22" s="1811">
        <v>1</v>
      </c>
      <c r="AB22" s="1811">
        <v>1</v>
      </c>
      <c r="AC22" s="1811">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86"/>
      <c r="Q23" s="1810" t="str">
        <f>B23</f>
        <v>环境质量</v>
      </c>
      <c r="R23" s="773" t="s">
        <v>17</v>
      </c>
      <c r="S23" s="774">
        <f>F23</f>
        <v>100</v>
      </c>
      <c r="T23" s="773" t="s">
        <v>17</v>
      </c>
      <c r="U23" s="774">
        <f>H23</f>
        <v>100</v>
      </c>
      <c r="V23" s="773" t="s">
        <v>17</v>
      </c>
      <c r="W23" s="774">
        <f>J23</f>
        <v>100</v>
      </c>
      <c r="X23" s="1813"/>
      <c r="Y23" s="3186"/>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186"/>
      <c r="Q24" s="1810"/>
      <c r="R24" s="773"/>
      <c r="S24" s="774"/>
      <c r="T24" s="773"/>
      <c r="U24" s="774"/>
      <c r="V24" s="773"/>
      <c r="W24" s="774"/>
      <c r="X24" s="1813"/>
      <c r="Y24" s="3186"/>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86"/>
      <c r="Q25" s="1810">
        <f>B25</f>
        <v>111</v>
      </c>
      <c r="R25" s="773" t="s">
        <v>17</v>
      </c>
      <c r="S25" s="774">
        <f>F25</f>
        <v>100</v>
      </c>
      <c r="T25" s="773" t="s">
        <v>17</v>
      </c>
      <c r="U25" s="774">
        <f>H25</f>
        <v>100</v>
      </c>
      <c r="V25" s="773" t="s">
        <v>17</v>
      </c>
      <c r="W25" s="774">
        <f>J25</f>
        <v>100</v>
      </c>
      <c r="X25" s="1813"/>
      <c r="Y25" s="3186"/>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86"/>
      <c r="Q26" s="1810">
        <f t="shared" ref="Q26:Q40" si="11">B26</f>
        <v>111</v>
      </c>
      <c r="R26" s="773" t="s">
        <v>17</v>
      </c>
      <c r="S26" s="774">
        <f>F26</f>
        <v>100</v>
      </c>
      <c r="T26" s="773" t="s">
        <v>17</v>
      </c>
      <c r="U26" s="774">
        <f>H26</f>
        <v>100</v>
      </c>
      <c r="V26" s="773" t="s">
        <v>17</v>
      </c>
      <c r="W26" s="774">
        <f>J26</f>
        <v>100</v>
      </c>
      <c r="X26" s="1813"/>
      <c r="Y26" s="3186"/>
      <c r="Z26" s="1814">
        <f>Q26</f>
        <v>111</v>
      </c>
      <c r="AA26" s="1811">
        <f t="shared" si="3"/>
        <v>1</v>
      </c>
      <c r="AB26" s="1811">
        <f t="shared" si="4"/>
        <v>1</v>
      </c>
      <c r="AC26" s="1811">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86"/>
      <c r="Q27" s="1795">
        <f t="shared" si="11"/>
        <v>111</v>
      </c>
      <c r="R27" s="769" t="s">
        <v>17</v>
      </c>
      <c r="S27" s="770">
        <f>F27</f>
        <v>100</v>
      </c>
      <c r="T27" s="769" t="s">
        <v>17</v>
      </c>
      <c r="U27" s="770">
        <f>H27</f>
        <v>100</v>
      </c>
      <c r="V27" s="769" t="s">
        <v>17</v>
      </c>
      <c r="W27" s="770">
        <f>J27</f>
        <v>100</v>
      </c>
      <c r="X27" s="771"/>
      <c r="Y27" s="3186"/>
      <c r="Z27" s="55">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86"/>
      <c r="Q28" s="1810">
        <f t="shared" si="11"/>
        <v>111</v>
      </c>
      <c r="R28" s="773" t="s">
        <v>17</v>
      </c>
      <c r="S28" s="774">
        <f t="shared" ref="S28:S40" si="12">F28</f>
        <v>100</v>
      </c>
      <c r="T28" s="773" t="s">
        <v>17</v>
      </c>
      <c r="U28" s="774">
        <f t="shared" ref="U28:U40" si="13">H28</f>
        <v>100</v>
      </c>
      <c r="V28" s="773" t="s">
        <v>17</v>
      </c>
      <c r="W28" s="774">
        <f t="shared" ref="W28:W40" si="14">J28</f>
        <v>100</v>
      </c>
      <c r="X28" s="1813"/>
      <c r="Y28" s="3186"/>
      <c r="Z28" s="1814">
        <f t="shared" ref="Z28:Z40" si="15">Q28</f>
        <v>111</v>
      </c>
      <c r="AA28" s="1811">
        <f t="shared" si="3"/>
        <v>1</v>
      </c>
      <c r="AB28" s="1811">
        <f t="shared" si="4"/>
        <v>1</v>
      </c>
      <c r="AC28" s="1811">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67" t="s">
        <v>2564</v>
      </c>
      <c r="Q29" s="1810" t="str">
        <f t="shared" si="11"/>
        <v>建筑类型</v>
      </c>
      <c r="R29" s="773" t="s">
        <v>17</v>
      </c>
      <c r="S29" s="774">
        <f t="shared" si="12"/>
        <v>100</v>
      </c>
      <c r="T29" s="773" t="s">
        <v>17</v>
      </c>
      <c r="U29" s="774">
        <f t="shared" si="13"/>
        <v>100</v>
      </c>
      <c r="V29" s="773" t="s">
        <v>17</v>
      </c>
      <c r="W29" s="774">
        <f t="shared" si="14"/>
        <v>100</v>
      </c>
      <c r="X29" s="1813"/>
      <c r="Y29" s="3190" t="s">
        <v>2564</v>
      </c>
      <c r="Z29" s="1814" t="str">
        <f t="shared" si="15"/>
        <v>建筑类型</v>
      </c>
      <c r="AA29" s="1811">
        <f t="shared" si="3"/>
        <v>1</v>
      </c>
      <c r="AB29" s="1811">
        <f t="shared" si="4"/>
        <v>1</v>
      </c>
      <c r="AC29" s="1811">
        <f t="shared" si="5"/>
        <v>1</v>
      </c>
    </row>
    <row r="30" spans="1:29" s="470" customFormat="1" ht="15">
      <c r="A30" s="467"/>
      <c r="B30" s="421" t="s">
        <v>2565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1" t="e">
        <f t="shared" si="3"/>
        <v>#N/A</v>
      </c>
      <c r="AB30" s="1811" t="e">
        <f t="shared" si="4"/>
        <v>#N/A</v>
      </c>
      <c r="AC30" s="1811"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0"/>
      <c r="Q31" s="1810" t="str">
        <f t="shared" si="11"/>
        <v>建筑结构</v>
      </c>
      <c r="R31" s="773" t="s">
        <v>17</v>
      </c>
      <c r="S31" s="774">
        <f t="shared" si="12"/>
        <v>100</v>
      </c>
      <c r="T31" s="773" t="s">
        <v>17</v>
      </c>
      <c r="U31" s="774">
        <f t="shared" si="13"/>
        <v>100</v>
      </c>
      <c r="V31" s="773" t="s">
        <v>17</v>
      </c>
      <c r="W31" s="774">
        <f t="shared" si="14"/>
        <v>100</v>
      </c>
      <c r="X31" s="1813"/>
      <c r="Y31" s="3190"/>
      <c r="Z31" s="1814" t="str">
        <f t="shared" si="15"/>
        <v>建筑结构</v>
      </c>
      <c r="AA31" s="1811">
        <f t="shared" si="3"/>
        <v>1</v>
      </c>
      <c r="AB31" s="1811">
        <f t="shared" si="4"/>
        <v>1</v>
      </c>
      <c r="AC31" s="1811">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0"/>
      <c r="Q32" s="1810" t="str">
        <f t="shared" si="11"/>
        <v>公共部分装修</v>
      </c>
      <c r="R32" s="773" t="s">
        <v>17</v>
      </c>
      <c r="S32" s="774">
        <f t="shared" si="12"/>
        <v>100</v>
      </c>
      <c r="T32" s="773" t="s">
        <v>17</v>
      </c>
      <c r="U32" s="774">
        <f t="shared" si="13"/>
        <v>100</v>
      </c>
      <c r="V32" s="773" t="s">
        <v>17</v>
      </c>
      <c r="W32" s="774">
        <f t="shared" si="14"/>
        <v>100</v>
      </c>
      <c r="X32" s="1813"/>
      <c r="Y32" s="3190"/>
      <c r="Z32" s="1814" t="str">
        <f t="shared" si="15"/>
        <v>公共部分装修</v>
      </c>
      <c r="AA32" s="1811">
        <f t="shared" si="3"/>
        <v>1</v>
      </c>
      <c r="AB32" s="1811">
        <f t="shared" si="4"/>
        <v>1</v>
      </c>
      <c r="AC32" s="1811">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0"/>
      <c r="Q33" s="1810" t="str">
        <f t="shared" si="11"/>
        <v>成新度</v>
      </c>
      <c r="R33" s="773" t="s">
        <v>17</v>
      </c>
      <c r="S33" s="774" t="e">
        <f t="shared" si="12"/>
        <v>#N/A</v>
      </c>
      <c r="T33" s="773" t="s">
        <v>17</v>
      </c>
      <c r="U33" s="774" t="e">
        <f t="shared" si="13"/>
        <v>#N/A</v>
      </c>
      <c r="V33" s="773" t="s">
        <v>17</v>
      </c>
      <c r="W33" s="774" t="e">
        <f t="shared" si="14"/>
        <v>#N/A</v>
      </c>
      <c r="X33" s="1813"/>
      <c r="Y33" s="3190"/>
      <c r="Z33" s="1814" t="str">
        <f t="shared" si="15"/>
        <v>成新度</v>
      </c>
      <c r="AA33" s="1811" t="e">
        <f t="shared" si="3"/>
        <v>#N/A</v>
      </c>
      <c r="AB33" s="1811" t="e">
        <f t="shared" si="4"/>
        <v>#N/A</v>
      </c>
      <c r="AC33" s="1811" t="e">
        <f t="shared" si="5"/>
        <v>#N/A</v>
      </c>
    </row>
    <row r="34" spans="1:29" s="117" customFormat="1" ht="15">
      <c r="A34" s="472"/>
      <c r="B34" s="421" t="s">
        <v>2694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0"/>
      <c r="Q34" s="1795"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0" t="s">
        <v>2564</v>
      </c>
      <c r="Q35" s="1810" t="str">
        <f t="shared" si="11"/>
        <v>市政基础设施</v>
      </c>
      <c r="R35" s="773" t="s">
        <v>17</v>
      </c>
      <c r="S35" s="774">
        <f t="shared" si="12"/>
        <v>100</v>
      </c>
      <c r="T35" s="773" t="s">
        <v>17</v>
      </c>
      <c r="U35" s="774">
        <f t="shared" si="13"/>
        <v>100</v>
      </c>
      <c r="V35" s="773" t="s">
        <v>17</v>
      </c>
      <c r="W35" s="774">
        <f t="shared" si="14"/>
        <v>100</v>
      </c>
      <c r="X35" s="1813"/>
      <c r="Y35" s="3190" t="s">
        <v>2564</v>
      </c>
      <c r="Z35" s="1814" t="str">
        <f t="shared" si="15"/>
        <v>市政基础设施</v>
      </c>
      <c r="AA35" s="1811">
        <f t="shared" si="3"/>
        <v>1</v>
      </c>
      <c r="AB35" s="1811">
        <f t="shared" si="4"/>
        <v>1</v>
      </c>
      <c r="AC35" s="1811">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0"/>
      <c r="Q36" s="1810" t="str">
        <f t="shared" si="11"/>
        <v>内部装修</v>
      </c>
      <c r="R36" s="773" t="s">
        <v>17</v>
      </c>
      <c r="S36" s="774">
        <f t="shared" si="12"/>
        <v>100</v>
      </c>
      <c r="T36" s="773" t="s">
        <v>17</v>
      </c>
      <c r="U36" s="774">
        <f t="shared" si="13"/>
        <v>100</v>
      </c>
      <c r="V36" s="773" t="s">
        <v>17</v>
      </c>
      <c r="W36" s="774">
        <f t="shared" si="14"/>
        <v>100</v>
      </c>
      <c r="X36" s="1813"/>
      <c r="Y36" s="3190"/>
      <c r="Z36" s="1814" t="str">
        <f t="shared" si="15"/>
        <v>内部装修</v>
      </c>
      <c r="AA36" s="1811">
        <f t="shared" si="3"/>
        <v>1</v>
      </c>
      <c r="AB36" s="1811">
        <f t="shared" si="4"/>
        <v>1</v>
      </c>
      <c r="AC36" s="1811">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0"/>
      <c r="Q37" s="1810" t="str">
        <f t="shared" si="11"/>
        <v>内部装修状况</v>
      </c>
      <c r="R37" s="773" t="s">
        <v>17</v>
      </c>
      <c r="S37" s="774">
        <f t="shared" si="12"/>
        <v>100</v>
      </c>
      <c r="T37" s="773" t="s">
        <v>17</v>
      </c>
      <c r="U37" s="774">
        <f t="shared" si="13"/>
        <v>100</v>
      </c>
      <c r="V37" s="773" t="s">
        <v>17</v>
      </c>
      <c r="W37" s="774">
        <f t="shared" si="14"/>
        <v>100</v>
      </c>
      <c r="X37" s="1813"/>
      <c r="Y37" s="3190"/>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0"/>
      <c r="Q39" s="1810">
        <f t="shared" si="11"/>
        <v>111</v>
      </c>
      <c r="R39" s="773" t="s">
        <v>17</v>
      </c>
      <c r="S39" s="774">
        <f t="shared" si="12"/>
        <v>100</v>
      </c>
      <c r="T39" s="773" t="s">
        <v>17</v>
      </c>
      <c r="U39" s="774">
        <f t="shared" si="13"/>
        <v>100</v>
      </c>
      <c r="V39" s="773" t="s">
        <v>17</v>
      </c>
      <c r="W39" s="774">
        <f t="shared" si="14"/>
        <v>100</v>
      </c>
      <c r="X39" s="1813"/>
      <c r="Y39" s="3190"/>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1"/>
      <c r="Q40" s="1810">
        <f t="shared" si="11"/>
        <v>111</v>
      </c>
      <c r="R40" s="773" t="s">
        <v>17</v>
      </c>
      <c r="S40" s="774">
        <f t="shared" si="12"/>
        <v>100</v>
      </c>
      <c r="T40" s="773" t="s">
        <v>17</v>
      </c>
      <c r="U40" s="774">
        <f t="shared" si="13"/>
        <v>100</v>
      </c>
      <c r="V40" s="773" t="s">
        <v>17</v>
      </c>
      <c r="W40" s="774">
        <f t="shared" si="14"/>
        <v>100</v>
      </c>
      <c r="X40" s="1813"/>
      <c r="Y40" s="3191"/>
      <c r="Z40" s="1814">
        <f t="shared" si="15"/>
        <v>111</v>
      </c>
      <c r="AA40" s="1811">
        <f t="shared" si="3"/>
        <v>1</v>
      </c>
      <c r="AB40" s="1811">
        <f t="shared" si="4"/>
        <v>1</v>
      </c>
      <c r="AC40" s="1811">
        <f t="shared" si="5"/>
        <v>1</v>
      </c>
    </row>
    <row r="41" spans="1:29" ht="15">
      <c r="A41" s="478" t="s">
        <v>2576</v>
      </c>
      <c r="B41" s="479"/>
      <c r="C41" s="1408" t="s">
        <v>1</v>
      </c>
      <c r="D41" s="1409"/>
      <c r="E41" s="1410"/>
      <c r="F41" s="1411"/>
      <c r="G41" s="1412"/>
      <c r="H41" s="1413"/>
      <c r="I41" s="1410"/>
      <c r="J41" s="1413"/>
      <c r="K41" s="782"/>
      <c r="L41" s="1144"/>
      <c r="M41" s="1145"/>
      <c r="N41" s="1132"/>
      <c r="O41" s="1145"/>
      <c r="P41" s="3178" t="str">
        <f>A41</f>
        <v>成交单价（元/平方米）</v>
      </c>
      <c r="Q41" s="3178"/>
      <c r="R41" s="3179">
        <f>E41</f>
        <v>0</v>
      </c>
      <c r="S41" s="3179"/>
      <c r="T41" s="3179">
        <f>G41</f>
        <v>0</v>
      </c>
      <c r="U41" s="3179"/>
      <c r="V41" s="3179">
        <f>I41</f>
        <v>0</v>
      </c>
      <c r="W41" s="3179"/>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7" customFormat="1" ht="15">
      <c r="A53" s="508"/>
      <c r="B53" s="509"/>
      <c r="C53" s="1573">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2326</v>
      </c>
      <c r="B2" s="1419" t="e">
        <f ca="1">IF(C2="——",IF(B37="元/平方米",ROUND(C39*D3/10000,0),ROUND(F3*C39/10000,0)),IF(B37="元/平方米",ROUND(C39*D3/10000,0),ROUND(F3*C39/10000,0))-D2)</f>
        <v>#DIV/0!</v>
      </c>
      <c r="C2" s="2588"/>
      <c r="D2" s="1125" t="e">
        <f ca="1">SUMIF(INDIRECT("'"&amp;F2&amp;"'"&amp;"!A:A"),"承租人权益价值",INDIRECT("'"&amp;F2&amp;"'"&amp;"!c:c"))</f>
        <v>#REF!</v>
      </c>
      <c r="E2" s="2589" t="s">
        <v>2327</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3"/>
      <c r="Y6" s="3211"/>
      <c r="Z6" s="3212"/>
      <c r="AA6" s="3196"/>
      <c r="AB6" s="3196"/>
      <c r="AC6" s="3196"/>
    </row>
    <row r="7" spans="1:29" s="117" customFormat="1" ht="15.75" thickBot="1">
      <c r="A7" s="407" t="s">
        <v>2547</v>
      </c>
      <c r="B7" s="408"/>
      <c r="C7" s="409">
        <f>'数据-取费表'!B2</f>
        <v>43468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7" t="s">
        <v>2548</v>
      </c>
      <c r="Q7" s="3219"/>
      <c r="R7" s="769" t="s">
        <v>17</v>
      </c>
      <c r="S7" s="770">
        <f t="shared" ref="S7:S14" si="0">F7</f>
        <v>0</v>
      </c>
      <c r="T7" s="769" t="s">
        <v>17</v>
      </c>
      <c r="U7" s="770">
        <f t="shared" ref="U7:U14" si="1">H7</f>
        <v>0</v>
      </c>
      <c r="V7" s="769" t="s">
        <v>17</v>
      </c>
      <c r="W7" s="770">
        <f t="shared" ref="W7:W14" si="2">J7</f>
        <v>0</v>
      </c>
      <c r="X7" s="771"/>
      <c r="Y7" s="3217" t="s">
        <v>2548</v>
      </c>
      <c r="Z7" s="321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36" si="3">D8/F8</f>
        <v>#DIV/0!</v>
      </c>
      <c r="AB8" s="772" t="e">
        <f t="shared" ref="AB8:AB36" si="4">D8/H8</f>
        <v>#DIV/0!</v>
      </c>
      <c r="AC8" s="772" t="e">
        <f t="shared" ref="AC8:AC36" si="5">D8/J8</f>
        <v>#DIV/0!</v>
      </c>
    </row>
    <row r="9" spans="1:29" s="117" customFormat="1">
      <c r="A9" s="68" t="s">
        <v>2552</v>
      </c>
      <c r="B9" s="639" t="s">
        <v>2553</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178" t="s">
        <v>2554</v>
      </c>
      <c r="Q9" s="1795"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640"/>
      <c r="B10" s="641" t="s">
        <v>2556</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178"/>
      <c r="Q10" s="1795"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178"/>
      <c r="Q11" s="1795">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178"/>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178"/>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85" t="s">
        <v>2559</v>
      </c>
      <c r="Q14" s="1810" t="str">
        <f t="shared" si="6"/>
        <v>交通便捷度</v>
      </c>
      <c r="R14" s="773" t="s">
        <v>17</v>
      </c>
      <c r="S14" s="774">
        <f t="shared" si="0"/>
        <v>100</v>
      </c>
      <c r="T14" s="773" t="s">
        <v>17</v>
      </c>
      <c r="U14" s="774">
        <f t="shared" si="1"/>
        <v>100</v>
      </c>
      <c r="V14" s="773" t="s">
        <v>17</v>
      </c>
      <c r="W14" s="774">
        <f t="shared" si="2"/>
        <v>100</v>
      </c>
      <c r="X14" s="1813"/>
      <c r="Y14" s="3185" t="s">
        <v>2559</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186"/>
      <c r="Q15" s="1810"/>
      <c r="R15" s="773"/>
      <c r="S15" s="774"/>
      <c r="T15" s="773"/>
      <c r="U15" s="774"/>
      <c r="V15" s="773"/>
      <c r="W15" s="774"/>
      <c r="X15" s="1813"/>
      <c r="Y15" s="3186"/>
      <c r="Z15" s="1814"/>
      <c r="AA15" s="1811">
        <v>1</v>
      </c>
      <c r="AB15" s="1811">
        <v>1</v>
      </c>
      <c r="AC15" s="1811">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86"/>
      <c r="Q16" s="1810" t="str">
        <f>B16</f>
        <v>公共配套设施</v>
      </c>
      <c r="R16" s="773" t="s">
        <v>17</v>
      </c>
      <c r="S16" s="774">
        <f>F16</f>
        <v>100</v>
      </c>
      <c r="T16" s="773" t="s">
        <v>17</v>
      </c>
      <c r="U16" s="774">
        <f>H16</f>
        <v>100</v>
      </c>
      <c r="V16" s="773" t="s">
        <v>17</v>
      </c>
      <c r="W16" s="774">
        <f>J16</f>
        <v>100</v>
      </c>
      <c r="X16" s="1813"/>
      <c r="Y16" s="3186"/>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186"/>
      <c r="Q17" s="1810"/>
      <c r="R17" s="773"/>
      <c r="S17" s="774"/>
      <c r="T17" s="773"/>
      <c r="U17" s="774"/>
      <c r="V17" s="773"/>
      <c r="W17" s="774"/>
      <c r="X17" s="1813"/>
      <c r="Y17" s="3186"/>
      <c r="Z17" s="1814"/>
      <c r="AA17" s="1811">
        <v>1</v>
      </c>
      <c r="AB17" s="1811">
        <v>1</v>
      </c>
      <c r="AC17" s="1811">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86"/>
      <c r="Q18" s="1810" t="str">
        <f>B18</f>
        <v>基础设施水平</v>
      </c>
      <c r="R18" s="773" t="s">
        <v>17</v>
      </c>
      <c r="S18" s="774">
        <f>F18</f>
        <v>100</v>
      </c>
      <c r="T18" s="773" t="s">
        <v>17</v>
      </c>
      <c r="U18" s="774">
        <f>H18</f>
        <v>100</v>
      </c>
      <c r="V18" s="773" t="s">
        <v>17</v>
      </c>
      <c r="W18" s="774">
        <f>J18</f>
        <v>100</v>
      </c>
      <c r="X18" s="1813"/>
      <c r="Y18" s="3186"/>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186"/>
      <c r="Q19" s="1810"/>
      <c r="R19" s="773"/>
      <c r="S19" s="774"/>
      <c r="T19" s="773"/>
      <c r="U19" s="774"/>
      <c r="V19" s="773"/>
      <c r="W19" s="774"/>
      <c r="X19" s="1813"/>
      <c r="Y19" s="3186"/>
      <c r="Z19" s="1814"/>
      <c r="AA19" s="1811">
        <v>1</v>
      </c>
      <c r="AB19" s="1811">
        <v>1</v>
      </c>
      <c r="AC19" s="1811">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86"/>
      <c r="Q20" s="1810" t="str">
        <f>B20</f>
        <v>自然及人文环境</v>
      </c>
      <c r="R20" s="773" t="s">
        <v>17</v>
      </c>
      <c r="S20" s="774">
        <f>F20</f>
        <v>100</v>
      </c>
      <c r="T20" s="773" t="s">
        <v>17</v>
      </c>
      <c r="U20" s="774">
        <f>H20</f>
        <v>100</v>
      </c>
      <c r="V20" s="773" t="s">
        <v>17</v>
      </c>
      <c r="W20" s="774">
        <f>J20</f>
        <v>100</v>
      </c>
      <c r="X20" s="1813"/>
      <c r="Y20" s="3186"/>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186"/>
      <c r="Q21" s="1810"/>
      <c r="R21" s="773"/>
      <c r="S21" s="774"/>
      <c r="T21" s="773"/>
      <c r="U21" s="774"/>
      <c r="V21" s="773"/>
      <c r="W21" s="774"/>
      <c r="X21" s="1813"/>
      <c r="Y21" s="3186"/>
      <c r="Z21" s="1814"/>
      <c r="AA21" s="1811">
        <v>1</v>
      </c>
      <c r="AB21" s="1811">
        <v>1</v>
      </c>
      <c r="AC21" s="1811">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86"/>
      <c r="Q22" s="1810" t="str">
        <f>B22</f>
        <v>楼层</v>
      </c>
      <c r="R22" s="773" t="s">
        <v>17</v>
      </c>
      <c r="S22" s="774">
        <f>F22</f>
        <v>100</v>
      </c>
      <c r="T22" s="773" t="s">
        <v>17</v>
      </c>
      <c r="U22" s="774">
        <f>H22</f>
        <v>100</v>
      </c>
      <c r="V22" s="773" t="s">
        <v>17</v>
      </c>
      <c r="W22" s="774">
        <f>J22</f>
        <v>100</v>
      </c>
      <c r="X22" s="1813"/>
      <c r="Y22" s="3186"/>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86"/>
      <c r="Q23" s="1810">
        <f>B23</f>
        <v>111</v>
      </c>
      <c r="R23" s="773" t="s">
        <v>17</v>
      </c>
      <c r="S23" s="774">
        <f>F23</f>
        <v>100</v>
      </c>
      <c r="T23" s="773" t="s">
        <v>17</v>
      </c>
      <c r="U23" s="774">
        <f>H23</f>
        <v>100</v>
      </c>
      <c r="V23" s="773" t="s">
        <v>17</v>
      </c>
      <c r="W23" s="774">
        <f>J23</f>
        <v>100</v>
      </c>
      <c r="X23" s="1813"/>
      <c r="Y23" s="3186"/>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86"/>
      <c r="Q24" s="1810">
        <f t="shared" ref="Q24:Q36" si="11">B24</f>
        <v>111</v>
      </c>
      <c r="R24" s="773" t="s">
        <v>17</v>
      </c>
      <c r="S24" s="774">
        <f>F24</f>
        <v>100</v>
      </c>
      <c r="T24" s="773" t="s">
        <v>17</v>
      </c>
      <c r="U24" s="774">
        <f>H24</f>
        <v>100</v>
      </c>
      <c r="V24" s="773" t="s">
        <v>17</v>
      </c>
      <c r="W24" s="774">
        <f>J24</f>
        <v>100</v>
      </c>
      <c r="X24" s="1813"/>
      <c r="Y24" s="3186"/>
      <c r="Z24" s="1814">
        <f>Q24</f>
        <v>111</v>
      </c>
      <c r="AA24" s="1811">
        <f t="shared" si="3"/>
        <v>1</v>
      </c>
      <c r="AB24" s="1811">
        <f t="shared" si="4"/>
        <v>1</v>
      </c>
      <c r="AC24" s="181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86"/>
      <c r="Q25" s="1795">
        <f t="shared" si="11"/>
        <v>111</v>
      </c>
      <c r="R25" s="769" t="s">
        <v>17</v>
      </c>
      <c r="S25" s="770">
        <f>F25</f>
        <v>100</v>
      </c>
      <c r="T25" s="769" t="s">
        <v>17</v>
      </c>
      <c r="U25" s="770">
        <f>H25</f>
        <v>100</v>
      </c>
      <c r="V25" s="769" t="s">
        <v>17</v>
      </c>
      <c r="W25" s="770">
        <f>J25</f>
        <v>100</v>
      </c>
      <c r="X25" s="771"/>
      <c r="Y25" s="3186"/>
      <c r="Z25" s="55">
        <f>Q25</f>
        <v>111</v>
      </c>
      <c r="AA25" s="1811">
        <f>D25/F25</f>
        <v>1</v>
      </c>
      <c r="AB25" s="1811">
        <f>D25/H25</f>
        <v>1</v>
      </c>
      <c r="AC25" s="1811">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67" t="s">
        <v>2564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90" t="s">
        <v>2564</v>
      </c>
      <c r="Z26" s="1814" t="str">
        <f t="shared" ref="Z26:Z36" si="15">Q26</f>
        <v>配套类型</v>
      </c>
      <c r="AA26" s="1811">
        <f t="shared" si="3"/>
        <v>1</v>
      </c>
      <c r="AB26" s="1811">
        <f t="shared" si="4"/>
        <v>1</v>
      </c>
      <c r="AC26" s="1811">
        <f t="shared" si="5"/>
        <v>1</v>
      </c>
    </row>
    <row r="27" spans="1:29" s="470" customFormat="1" ht="15">
      <c r="A27" s="652"/>
      <c r="B27" s="653" t="s">
        <v>2712</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1">
        <f t="shared" si="3"/>
        <v>1</v>
      </c>
      <c r="AB27" s="1811">
        <f t="shared" si="4"/>
        <v>1</v>
      </c>
      <c r="AC27" s="1811">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0"/>
      <c r="Q28" s="1810" t="str">
        <f t="shared" si="11"/>
        <v>公共部分装修</v>
      </c>
      <c r="R28" s="773" t="s">
        <v>17</v>
      </c>
      <c r="S28" s="774">
        <f t="shared" si="12"/>
        <v>100</v>
      </c>
      <c r="T28" s="773" t="s">
        <v>17</v>
      </c>
      <c r="U28" s="774">
        <f t="shared" si="13"/>
        <v>100</v>
      </c>
      <c r="V28" s="773" t="s">
        <v>17</v>
      </c>
      <c r="W28" s="774">
        <f t="shared" si="14"/>
        <v>100</v>
      </c>
      <c r="X28" s="1813"/>
      <c r="Y28" s="3190"/>
      <c r="Z28" s="1814" t="str">
        <f t="shared" si="15"/>
        <v>公共部分装修</v>
      </c>
      <c r="AA28" s="1811">
        <f t="shared" si="3"/>
        <v>1</v>
      </c>
      <c r="AB28" s="1811">
        <f t="shared" si="4"/>
        <v>1</v>
      </c>
      <c r="AC28" s="1811">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0"/>
      <c r="Q29" s="1810" t="str">
        <f t="shared" si="11"/>
        <v>成新率</v>
      </c>
      <c r="R29" s="773" t="s">
        <v>17</v>
      </c>
      <c r="S29" s="774" t="e">
        <f t="shared" si="12"/>
        <v>#N/A</v>
      </c>
      <c r="T29" s="773" t="s">
        <v>17</v>
      </c>
      <c r="U29" s="774" t="e">
        <f t="shared" si="13"/>
        <v>#N/A</v>
      </c>
      <c r="V29" s="773" t="s">
        <v>17</v>
      </c>
      <c r="W29" s="774" t="e">
        <f t="shared" si="14"/>
        <v>#N/A</v>
      </c>
      <c r="X29" s="1813"/>
      <c r="Y29" s="3190"/>
      <c r="Z29" s="1814" t="str">
        <f t="shared" si="15"/>
        <v>成新率</v>
      </c>
      <c r="AA29" s="1811" t="e">
        <f t="shared" si="3"/>
        <v>#N/A</v>
      </c>
      <c r="AB29" s="1811" t="e">
        <f t="shared" si="4"/>
        <v>#N/A</v>
      </c>
      <c r="AC29" s="1811"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0"/>
      <c r="Q30" s="1810" t="str">
        <f t="shared" si="11"/>
        <v>物业等级</v>
      </c>
      <c r="R30" s="773" t="s">
        <v>17</v>
      </c>
      <c r="S30" s="774">
        <f t="shared" si="12"/>
        <v>100</v>
      </c>
      <c r="T30" s="773" t="s">
        <v>17</v>
      </c>
      <c r="U30" s="774">
        <f t="shared" si="13"/>
        <v>100</v>
      </c>
      <c r="V30" s="773" t="s">
        <v>17</v>
      </c>
      <c r="W30" s="774">
        <f t="shared" si="14"/>
        <v>100</v>
      </c>
      <c r="X30" s="1813"/>
      <c r="Y30" s="3190"/>
      <c r="Z30" s="1814" t="str">
        <f t="shared" si="15"/>
        <v>物业等级</v>
      </c>
      <c r="AA30" s="1811">
        <f t="shared" si="3"/>
        <v>1</v>
      </c>
      <c r="AB30" s="1811">
        <f t="shared" si="4"/>
        <v>1</v>
      </c>
      <c r="AC30" s="1811">
        <f t="shared" si="5"/>
        <v>1</v>
      </c>
    </row>
    <row r="31" spans="1:29" s="117" customFormat="1" ht="15">
      <c r="A31" s="657"/>
      <c r="B31" s="653" t="s">
        <v>2716</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0"/>
      <c r="Q31" s="1795" t="str">
        <f t="shared" si="11"/>
        <v>停车位面积</v>
      </c>
      <c r="R31" s="769" t="s">
        <v>17</v>
      </c>
      <c r="S31" s="770" t="e">
        <f t="shared" si="12"/>
        <v>#N/A</v>
      </c>
      <c r="T31" s="769" t="s">
        <v>17</v>
      </c>
      <c r="U31" s="770" t="e">
        <f t="shared" si="13"/>
        <v>#N/A</v>
      </c>
      <c r="V31" s="769" t="s">
        <v>17</v>
      </c>
      <c r="W31" s="770" t="e">
        <f t="shared" si="14"/>
        <v>#N/A</v>
      </c>
      <c r="X31" s="771"/>
      <c r="Y31" s="319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0" t="s">
        <v>2564</v>
      </c>
      <c r="Q32" s="1810" t="str">
        <f t="shared" si="11"/>
        <v>车位类型</v>
      </c>
      <c r="R32" s="773" t="s">
        <v>17</v>
      </c>
      <c r="S32" s="774">
        <f t="shared" si="12"/>
        <v>100</v>
      </c>
      <c r="T32" s="773" t="s">
        <v>17</v>
      </c>
      <c r="U32" s="774">
        <f t="shared" si="13"/>
        <v>100</v>
      </c>
      <c r="V32" s="773" t="s">
        <v>17</v>
      </c>
      <c r="W32" s="774">
        <f t="shared" si="14"/>
        <v>100</v>
      </c>
      <c r="X32" s="1813"/>
      <c r="Y32" s="3190" t="s">
        <v>2564</v>
      </c>
      <c r="Z32" s="1814" t="str">
        <f t="shared" si="15"/>
        <v>车位类型</v>
      </c>
      <c r="AA32" s="1811">
        <f t="shared" si="3"/>
        <v>1</v>
      </c>
      <c r="AB32" s="1811">
        <f t="shared" si="4"/>
        <v>1</v>
      </c>
      <c r="AC32" s="1811">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0"/>
      <c r="Q33" s="1810" t="str">
        <f t="shared" si="11"/>
        <v>是否直接入户</v>
      </c>
      <c r="R33" s="773" t="s">
        <v>17</v>
      </c>
      <c r="S33" s="774">
        <f t="shared" si="12"/>
        <v>100</v>
      </c>
      <c r="T33" s="773" t="s">
        <v>17</v>
      </c>
      <c r="U33" s="774">
        <f t="shared" si="13"/>
        <v>100</v>
      </c>
      <c r="V33" s="773" t="s">
        <v>17</v>
      </c>
      <c r="W33" s="774">
        <f t="shared" si="14"/>
        <v>100</v>
      </c>
      <c r="X33" s="1813"/>
      <c r="Y33" s="3190"/>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0"/>
      <c r="Q34" s="1810">
        <f t="shared" si="11"/>
        <v>111</v>
      </c>
      <c r="R34" s="773" t="s">
        <v>17</v>
      </c>
      <c r="S34" s="774">
        <f t="shared" si="12"/>
        <v>100</v>
      </c>
      <c r="T34" s="773" t="s">
        <v>17</v>
      </c>
      <c r="U34" s="774">
        <f t="shared" si="13"/>
        <v>100</v>
      </c>
      <c r="V34" s="773" t="s">
        <v>17</v>
      </c>
      <c r="W34" s="774">
        <f t="shared" si="14"/>
        <v>100</v>
      </c>
      <c r="X34" s="1813"/>
      <c r="Y34" s="3190"/>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0"/>
      <c r="Q36" s="1810">
        <f t="shared" si="11"/>
        <v>111</v>
      </c>
      <c r="R36" s="773" t="s">
        <v>17</v>
      </c>
      <c r="S36" s="774">
        <f t="shared" si="12"/>
        <v>100</v>
      </c>
      <c r="T36" s="773" t="s">
        <v>17</v>
      </c>
      <c r="U36" s="774">
        <f t="shared" si="13"/>
        <v>100</v>
      </c>
      <c r="V36" s="773" t="s">
        <v>17</v>
      </c>
      <c r="W36" s="774">
        <f t="shared" si="14"/>
        <v>100</v>
      </c>
      <c r="X36" s="1813"/>
      <c r="Y36" s="3190"/>
      <c r="Z36" s="1814">
        <f t="shared" si="15"/>
        <v>111</v>
      </c>
      <c r="AA36" s="1811">
        <f t="shared" si="3"/>
        <v>1</v>
      </c>
      <c r="AB36" s="1811">
        <f t="shared" si="4"/>
        <v>1</v>
      </c>
      <c r="AC36" s="1811">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178" t="str">
        <f>A37</f>
        <v>成交单价</v>
      </c>
      <c r="Q37" s="3178"/>
      <c r="R37" s="3179">
        <f>E37</f>
        <v>0</v>
      </c>
      <c r="S37" s="3179"/>
      <c r="T37" s="3179">
        <f>G37</f>
        <v>0</v>
      </c>
      <c r="U37" s="3179"/>
      <c r="V37" s="3179">
        <f>I37</f>
        <v>0</v>
      </c>
      <c r="W37" s="3179"/>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t="e">
        <f ca="1">IF(C2="——",ROUND(C37*D3/10000,0),ROUND(C37*D3/10000,0)-D2)</f>
        <v>#DIV/0!</v>
      </c>
      <c r="C2" s="2588"/>
      <c r="D2" s="1125" t="e">
        <f ca="1">SUMIF(INDIRECT("'"&amp;F2&amp;"'"&amp;"!A:A"),"承租人权益价值",INDIRECT("'"&amp;F2&amp;"'"&amp;"!c:c"))</f>
        <v>#REF!</v>
      </c>
      <c r="E2" s="2589" t="s">
        <v>2327</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3"/>
      <c r="Y6" s="3211"/>
      <c r="Z6" s="3212"/>
      <c r="AA6" s="3196"/>
      <c r="AB6" s="3196"/>
      <c r="AC6" s="3196"/>
    </row>
    <row r="7" spans="1:29" s="117" customFormat="1" ht="15.75" thickBot="1">
      <c r="A7" s="407" t="s">
        <v>2547</v>
      </c>
      <c r="B7" s="408"/>
      <c r="C7" s="409">
        <f>'数据-取费表'!B2</f>
        <v>43468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217" t="s">
        <v>2548</v>
      </c>
      <c r="Q7" s="3219"/>
      <c r="R7" s="769" t="s">
        <v>17</v>
      </c>
      <c r="S7" s="770">
        <f t="shared" ref="S7:S14" si="0">F7</f>
        <v>0</v>
      </c>
      <c r="T7" s="769" t="s">
        <v>17</v>
      </c>
      <c r="U7" s="770">
        <f t="shared" ref="U7:U14" si="1">H7</f>
        <v>0</v>
      </c>
      <c r="V7" s="769" t="s">
        <v>17</v>
      </c>
      <c r="W7" s="770">
        <f t="shared" ref="W7:W14" si="2">J7</f>
        <v>0</v>
      </c>
      <c r="X7" s="771"/>
      <c r="Y7" s="3217" t="s">
        <v>2548</v>
      </c>
      <c r="Z7" s="321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34" si="3">D8/F8</f>
        <v>#DIV/0!</v>
      </c>
      <c r="AB8" s="772" t="e">
        <f t="shared" ref="AB8:AB34" si="4">D8/H8</f>
        <v>#DIV/0!</v>
      </c>
      <c r="AC8" s="772" t="e">
        <f t="shared" ref="AC8:AC34" si="5">D8/J8</f>
        <v>#DIV/0!</v>
      </c>
    </row>
    <row r="9" spans="1:29" s="117" customFormat="1">
      <c r="A9" s="414" t="s">
        <v>2552</v>
      </c>
      <c r="B9" s="71" t="s">
        <v>2553</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178" t="s">
        <v>2554</v>
      </c>
      <c r="Q9" s="1795"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420"/>
      <c r="B10" s="421" t="s">
        <v>2556</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178"/>
      <c r="Q10" s="1795"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178"/>
      <c r="Q11" s="1795">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178"/>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78"/>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85" t="s">
        <v>2559</v>
      </c>
      <c r="Q14" s="1810" t="str">
        <f t="shared" si="6"/>
        <v>交通便捷度</v>
      </c>
      <c r="R14" s="773" t="s">
        <v>17</v>
      </c>
      <c r="S14" s="774">
        <f t="shared" si="0"/>
        <v>100</v>
      </c>
      <c r="T14" s="773" t="s">
        <v>17</v>
      </c>
      <c r="U14" s="774">
        <f t="shared" si="1"/>
        <v>100</v>
      </c>
      <c r="V14" s="773" t="s">
        <v>17</v>
      </c>
      <c r="W14" s="774">
        <f t="shared" si="2"/>
        <v>100</v>
      </c>
      <c r="X14" s="1813"/>
      <c r="Y14" s="3185" t="s">
        <v>2559</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186"/>
      <c r="Q15" s="1810"/>
      <c r="R15" s="773"/>
      <c r="S15" s="774"/>
      <c r="T15" s="773"/>
      <c r="U15" s="774"/>
      <c r="V15" s="773"/>
      <c r="W15" s="774"/>
      <c r="X15" s="1813"/>
      <c r="Y15" s="3186"/>
      <c r="Z15" s="1814"/>
      <c r="AA15" s="1811">
        <v>1</v>
      </c>
      <c r="AB15" s="1811">
        <v>1</v>
      </c>
      <c r="AC15" s="1811">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86"/>
      <c r="Q16" s="1810" t="str">
        <f>B16</f>
        <v>公共配套设施</v>
      </c>
      <c r="R16" s="773" t="s">
        <v>17</v>
      </c>
      <c r="S16" s="774">
        <f>F16</f>
        <v>100</v>
      </c>
      <c r="T16" s="773" t="s">
        <v>17</v>
      </c>
      <c r="U16" s="774">
        <f>H16</f>
        <v>100</v>
      </c>
      <c r="V16" s="773" t="s">
        <v>17</v>
      </c>
      <c r="W16" s="774">
        <f>J16</f>
        <v>100</v>
      </c>
      <c r="X16" s="1813"/>
      <c r="Y16" s="3186"/>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186"/>
      <c r="Q17" s="1810"/>
      <c r="R17" s="773"/>
      <c r="S17" s="774"/>
      <c r="T17" s="773"/>
      <c r="U17" s="774"/>
      <c r="V17" s="773"/>
      <c r="W17" s="774"/>
      <c r="X17" s="1813"/>
      <c r="Y17" s="3186"/>
      <c r="Z17" s="1814"/>
      <c r="AA17" s="1811">
        <v>1</v>
      </c>
      <c r="AB17" s="1811">
        <v>1</v>
      </c>
      <c r="AC17" s="1811">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86"/>
      <c r="Q18" s="1810" t="str">
        <f>B18</f>
        <v>基础设施水平</v>
      </c>
      <c r="R18" s="773" t="s">
        <v>17</v>
      </c>
      <c r="S18" s="774">
        <f>F18</f>
        <v>100</v>
      </c>
      <c r="T18" s="773" t="s">
        <v>17</v>
      </c>
      <c r="U18" s="774">
        <f>H18</f>
        <v>100</v>
      </c>
      <c r="V18" s="773" t="s">
        <v>17</v>
      </c>
      <c r="W18" s="774">
        <f>J18</f>
        <v>100</v>
      </c>
      <c r="X18" s="1813"/>
      <c r="Y18" s="3186"/>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186"/>
      <c r="Q19" s="1810"/>
      <c r="R19" s="773"/>
      <c r="S19" s="774"/>
      <c r="T19" s="773"/>
      <c r="U19" s="774"/>
      <c r="V19" s="773"/>
      <c r="W19" s="774"/>
      <c r="X19" s="1813"/>
      <c r="Y19" s="3186"/>
      <c r="Z19" s="1814"/>
      <c r="AA19" s="1811">
        <v>1</v>
      </c>
      <c r="AB19" s="1811">
        <v>1</v>
      </c>
      <c r="AC19" s="1811">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86"/>
      <c r="Q20" s="1810" t="str">
        <f>B20</f>
        <v>自然及人文环境</v>
      </c>
      <c r="R20" s="773" t="s">
        <v>17</v>
      </c>
      <c r="S20" s="774">
        <f>F20</f>
        <v>100</v>
      </c>
      <c r="T20" s="773" t="s">
        <v>17</v>
      </c>
      <c r="U20" s="774">
        <f>H20</f>
        <v>100</v>
      </c>
      <c r="V20" s="773" t="s">
        <v>17</v>
      </c>
      <c r="W20" s="774">
        <f>J20</f>
        <v>100</v>
      </c>
      <c r="X20" s="1813"/>
      <c r="Y20" s="3186"/>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186"/>
      <c r="Q21" s="1810"/>
      <c r="R21" s="773"/>
      <c r="S21" s="774"/>
      <c r="T21" s="773"/>
      <c r="U21" s="774"/>
      <c r="V21" s="773"/>
      <c r="W21" s="774"/>
      <c r="X21" s="1813"/>
      <c r="Y21" s="3186"/>
      <c r="Z21" s="1814"/>
      <c r="AA21" s="1811">
        <v>1</v>
      </c>
      <c r="AB21" s="1811">
        <v>1</v>
      </c>
      <c r="AC21" s="1811">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86"/>
      <c r="Q22" s="1810" t="str">
        <f>B22</f>
        <v>楼层</v>
      </c>
      <c r="R22" s="773" t="s">
        <v>17</v>
      </c>
      <c r="S22" s="774">
        <f>F22</f>
        <v>100</v>
      </c>
      <c r="T22" s="773" t="s">
        <v>17</v>
      </c>
      <c r="U22" s="774">
        <f>H22</f>
        <v>100</v>
      </c>
      <c r="V22" s="773" t="s">
        <v>17</v>
      </c>
      <c r="W22" s="774">
        <f>J22</f>
        <v>100</v>
      </c>
      <c r="X22" s="1813"/>
      <c r="Y22" s="3186"/>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86"/>
      <c r="Q23" s="1810">
        <f>B23</f>
        <v>111</v>
      </c>
      <c r="R23" s="773" t="s">
        <v>17</v>
      </c>
      <c r="S23" s="774">
        <f>F23</f>
        <v>100</v>
      </c>
      <c r="T23" s="773" t="s">
        <v>17</v>
      </c>
      <c r="U23" s="774">
        <f>H23</f>
        <v>100</v>
      </c>
      <c r="V23" s="773" t="s">
        <v>17</v>
      </c>
      <c r="W23" s="774">
        <f>J23</f>
        <v>100</v>
      </c>
      <c r="X23" s="1813"/>
      <c r="Y23" s="3186"/>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86"/>
      <c r="Q24" s="1810">
        <f t="shared" ref="Q24:Q34" si="11">B24</f>
        <v>111</v>
      </c>
      <c r="R24" s="773" t="s">
        <v>17</v>
      </c>
      <c r="S24" s="774">
        <f>F24</f>
        <v>100</v>
      </c>
      <c r="T24" s="773" t="s">
        <v>17</v>
      </c>
      <c r="U24" s="774">
        <f>H24</f>
        <v>100</v>
      </c>
      <c r="V24" s="773" t="s">
        <v>17</v>
      </c>
      <c r="W24" s="774">
        <f>J24</f>
        <v>100</v>
      </c>
      <c r="X24" s="1813"/>
      <c r="Y24" s="3186"/>
      <c r="Z24" s="1814">
        <f>Q24</f>
        <v>111</v>
      </c>
      <c r="AA24" s="1811">
        <f t="shared" si="3"/>
        <v>1</v>
      </c>
      <c r="AB24" s="1811">
        <f t="shared" si="4"/>
        <v>1</v>
      </c>
      <c r="AC24" s="1811">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86"/>
      <c r="Q25" s="1795">
        <f t="shared" si="11"/>
        <v>111</v>
      </c>
      <c r="R25" s="769" t="s">
        <v>17</v>
      </c>
      <c r="S25" s="770">
        <f>F25</f>
        <v>100</v>
      </c>
      <c r="T25" s="769" t="s">
        <v>17</v>
      </c>
      <c r="U25" s="770">
        <f>H25</f>
        <v>100</v>
      </c>
      <c r="V25" s="769" t="s">
        <v>17</v>
      </c>
      <c r="W25" s="770">
        <f>J25</f>
        <v>100</v>
      </c>
      <c r="X25" s="771"/>
      <c r="Y25" s="3186"/>
      <c r="Z25" s="55">
        <f>Q25</f>
        <v>111</v>
      </c>
      <c r="AA25" s="1811">
        <f>D25/F25</f>
        <v>1</v>
      </c>
      <c r="AB25" s="1811">
        <f>D25/H25</f>
        <v>1</v>
      </c>
      <c r="AC25" s="1811">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67" t="s">
        <v>2564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90" t="s">
        <v>2564</v>
      </c>
      <c r="Z26" s="1814" t="str">
        <f t="shared" ref="Z26:Z34" si="15">Q26</f>
        <v>公共部分装修</v>
      </c>
      <c r="AA26" s="1811">
        <f t="shared" si="3"/>
        <v>1</v>
      </c>
      <c r="AB26" s="1811">
        <f t="shared" si="4"/>
        <v>1</v>
      </c>
      <c r="AC26" s="1811">
        <f t="shared" si="5"/>
        <v>1</v>
      </c>
    </row>
    <row r="27" spans="1:29" s="470" customFormat="1" ht="15">
      <c r="A27" s="467"/>
      <c r="B27" s="421" t="s">
        <v>2714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1" t="e">
        <f t="shared" si="3"/>
        <v>#N/A</v>
      </c>
      <c r="AB27" s="1811" t="e">
        <f t="shared" si="4"/>
        <v>#N/A</v>
      </c>
      <c r="AC27" s="1811"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0"/>
      <c r="Q28" s="1810" t="str">
        <f t="shared" si="11"/>
        <v>物业等级</v>
      </c>
      <c r="R28" s="773" t="s">
        <v>17</v>
      </c>
      <c r="S28" s="774">
        <f t="shared" si="12"/>
        <v>100</v>
      </c>
      <c r="T28" s="773" t="s">
        <v>17</v>
      </c>
      <c r="U28" s="774">
        <f t="shared" si="13"/>
        <v>100</v>
      </c>
      <c r="V28" s="773" t="s">
        <v>17</v>
      </c>
      <c r="W28" s="774">
        <f t="shared" si="14"/>
        <v>100</v>
      </c>
      <c r="X28" s="1813"/>
      <c r="Y28" s="3190"/>
      <c r="Z28" s="1814" t="str">
        <f t="shared" si="15"/>
        <v>物业等级</v>
      </c>
      <c r="AA28" s="1811">
        <f t="shared" si="3"/>
        <v>1</v>
      </c>
      <c r="AB28" s="1811">
        <f t="shared" si="4"/>
        <v>1</v>
      </c>
      <c r="AC28" s="1811">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0"/>
      <c r="Q29" s="1810" t="str">
        <f t="shared" si="11"/>
        <v>有无电梯</v>
      </c>
      <c r="R29" s="773" t="s">
        <v>17</v>
      </c>
      <c r="S29" s="774">
        <f t="shared" si="12"/>
        <v>100</v>
      </c>
      <c r="T29" s="773" t="s">
        <v>17</v>
      </c>
      <c r="U29" s="774">
        <f t="shared" si="13"/>
        <v>100</v>
      </c>
      <c r="V29" s="773" t="s">
        <v>17</v>
      </c>
      <c r="W29" s="774">
        <f t="shared" si="14"/>
        <v>100</v>
      </c>
      <c r="X29" s="1813"/>
      <c r="Y29" s="3190"/>
      <c r="Z29" s="1814" t="str">
        <f t="shared" si="15"/>
        <v>有无电梯</v>
      </c>
      <c r="AA29" s="1811">
        <f t="shared" si="3"/>
        <v>1</v>
      </c>
      <c r="AB29" s="1811">
        <f t="shared" si="4"/>
        <v>1</v>
      </c>
      <c r="AC29" s="1811">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0"/>
      <c r="Q30" s="1810" t="str">
        <f t="shared" si="11"/>
        <v>建筑面积</v>
      </c>
      <c r="R30" s="773" t="s">
        <v>17</v>
      </c>
      <c r="S30" s="774" t="e">
        <f t="shared" si="12"/>
        <v>#N/A</v>
      </c>
      <c r="T30" s="773" t="s">
        <v>17</v>
      </c>
      <c r="U30" s="774" t="e">
        <f t="shared" si="13"/>
        <v>#N/A</v>
      </c>
      <c r="V30" s="773" t="s">
        <v>17</v>
      </c>
      <c r="W30" s="774" t="e">
        <f t="shared" si="14"/>
        <v>#N/A</v>
      </c>
      <c r="X30" s="1813"/>
      <c r="Y30" s="3190"/>
      <c r="Z30" s="1814" t="str">
        <f t="shared" si="15"/>
        <v>建筑面积</v>
      </c>
      <c r="AA30" s="1811" t="e">
        <f t="shared" si="3"/>
        <v>#N/A</v>
      </c>
      <c r="AB30" s="1811" t="e">
        <f t="shared" si="4"/>
        <v>#N/A</v>
      </c>
      <c r="AC30" s="1811" t="e">
        <f t="shared" si="5"/>
        <v>#N/A</v>
      </c>
    </row>
    <row r="31" spans="1:29" s="117" customFormat="1" ht="15">
      <c r="A31" s="472"/>
      <c r="B31" s="421" t="s">
        <v>2738</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0"/>
      <c r="Q31" s="1795"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0" t="s">
        <v>2564</v>
      </c>
      <c r="Q32" s="1810">
        <f t="shared" si="11"/>
        <v>111</v>
      </c>
      <c r="R32" s="773" t="s">
        <v>17</v>
      </c>
      <c r="S32" s="774">
        <f t="shared" si="12"/>
        <v>100</v>
      </c>
      <c r="T32" s="773" t="s">
        <v>17</v>
      </c>
      <c r="U32" s="774">
        <f t="shared" si="13"/>
        <v>100</v>
      </c>
      <c r="V32" s="773" t="s">
        <v>17</v>
      </c>
      <c r="W32" s="774">
        <f t="shared" si="14"/>
        <v>100</v>
      </c>
      <c r="X32" s="1813"/>
      <c r="Y32" s="3190" t="s">
        <v>2564</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0"/>
      <c r="Q33" s="1810">
        <f t="shared" si="11"/>
        <v>111</v>
      </c>
      <c r="R33" s="773" t="s">
        <v>17</v>
      </c>
      <c r="S33" s="774">
        <f t="shared" si="12"/>
        <v>100</v>
      </c>
      <c r="T33" s="773" t="s">
        <v>17</v>
      </c>
      <c r="U33" s="774">
        <f t="shared" si="13"/>
        <v>100</v>
      </c>
      <c r="V33" s="773" t="s">
        <v>17</v>
      </c>
      <c r="W33" s="774">
        <f t="shared" si="14"/>
        <v>100</v>
      </c>
      <c r="X33" s="1813"/>
      <c r="Y33" s="3190"/>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90"/>
      <c r="Q34" s="1810">
        <f t="shared" si="11"/>
        <v>111</v>
      </c>
      <c r="R34" s="773" t="s">
        <v>17</v>
      </c>
      <c r="S34" s="774">
        <f t="shared" si="12"/>
        <v>100</v>
      </c>
      <c r="T34" s="773" t="s">
        <v>17</v>
      </c>
      <c r="U34" s="774">
        <f t="shared" si="13"/>
        <v>100</v>
      </c>
      <c r="V34" s="773" t="s">
        <v>17</v>
      </c>
      <c r="W34" s="774">
        <f t="shared" si="14"/>
        <v>100</v>
      </c>
      <c r="X34" s="1813"/>
      <c r="Y34" s="3190"/>
      <c r="Z34" s="1814">
        <f t="shared" si="15"/>
        <v>111</v>
      </c>
      <c r="AA34" s="1811">
        <f t="shared" si="3"/>
        <v>1</v>
      </c>
      <c r="AB34" s="1811">
        <f t="shared" si="4"/>
        <v>1</v>
      </c>
      <c r="AC34" s="1811">
        <f t="shared" si="5"/>
        <v>1</v>
      </c>
    </row>
    <row r="35" spans="1:29" ht="15">
      <c r="A35" s="478" t="s">
        <v>2576</v>
      </c>
      <c r="B35" s="479"/>
      <c r="C35" s="1408" t="s">
        <v>1</v>
      </c>
      <c r="D35" s="1409"/>
      <c r="E35" s="1410"/>
      <c r="F35" s="1411"/>
      <c r="G35" s="1412"/>
      <c r="H35" s="1413"/>
      <c r="I35" s="1410"/>
      <c r="J35" s="1413"/>
      <c r="K35" s="782"/>
      <c r="L35" s="1144"/>
      <c r="M35" s="1145"/>
      <c r="N35" s="1132"/>
      <c r="O35" s="1145"/>
      <c r="P35" s="3178" t="str">
        <f>A35</f>
        <v>成交单价（元/平方米）</v>
      </c>
      <c r="Q35" s="3178"/>
      <c r="R35" s="3179">
        <f>E35</f>
        <v>0</v>
      </c>
      <c r="S35" s="3179"/>
      <c r="T35" s="3179">
        <f>G35</f>
        <v>0</v>
      </c>
      <c r="U35" s="3179"/>
      <c r="V35" s="3179">
        <f>I35</f>
        <v>0</v>
      </c>
      <c r="W35" s="3179"/>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7" customFormat="1" ht="15">
      <c r="A47" s="508"/>
      <c r="B47" s="509"/>
      <c r="C47" s="1573">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5" t="s">
        <v>2647</v>
      </c>
      <c r="AC4" s="3194" t="s">
        <v>2648</v>
      </c>
    </row>
    <row r="5" spans="1:30"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5"/>
      <c r="AC5" s="3195"/>
    </row>
    <row r="6" spans="1:30"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3"/>
      <c r="Y6" s="3211"/>
      <c r="Z6" s="3212"/>
      <c r="AA6" s="3196"/>
      <c r="AB6" s="3196"/>
      <c r="AC6" s="3196"/>
    </row>
    <row r="7" spans="1:30" s="117" customFormat="1" ht="15.75" thickBot="1">
      <c r="A7" s="407" t="s">
        <v>2547</v>
      </c>
      <c r="B7" s="408"/>
      <c r="C7" s="409">
        <f>'数据-取费表'!B2</f>
        <v>43468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5" si="3">D8/F8</f>
        <v>#DIV/0!</v>
      </c>
      <c r="AB8" s="772" t="e">
        <f t="shared" ref="AB8:AB45" si="4">D8/H8</f>
        <v>#DIV/0!</v>
      </c>
      <c r="AC8" s="772" t="e">
        <f t="shared" ref="AC8:AC45" si="5">D8/J8</f>
        <v>#DIV/0!</v>
      </c>
    </row>
    <row r="9" spans="1:30" s="117" customFormat="1">
      <c r="A9" s="414" t="s">
        <v>2552</v>
      </c>
      <c r="B9" s="71" t="s">
        <v>2553</v>
      </c>
      <c r="C9" s="2701"/>
      <c r="D9" s="135">
        <v>100</v>
      </c>
      <c r="E9" s="2701"/>
      <c r="F9" s="135">
        <f>SUMIF(75:75,E9,76:76)-SUMIF(75:75,C9,76:76)+100</f>
        <v>100</v>
      </c>
      <c r="G9" s="2701"/>
      <c r="H9" s="135">
        <f>SUMIF(75:75,G9,76:76)-SUMIF(75:75,C9,76:76)+100</f>
        <v>100</v>
      </c>
      <c r="I9" s="2701"/>
      <c r="J9" s="135">
        <f>SUMIF(75:75,I9,76:76)-SUMIF(75:75,C9,76:76)+100</f>
        <v>100</v>
      </c>
      <c r="K9" s="610"/>
      <c r="L9" s="1133"/>
      <c r="M9" s="1134"/>
      <c r="N9" s="1134"/>
      <c r="O9" s="1135"/>
      <c r="P9" s="3178"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30" s="426" customFormat="1" ht="27">
      <c r="A10" s="420"/>
      <c r="B10" s="421" t="s">
        <v>2556</v>
      </c>
      <c r="C10" s="431"/>
      <c r="D10" s="136">
        <v>100</v>
      </c>
      <c r="E10" s="464"/>
      <c r="F10" s="136">
        <f>ROUND(100/'数据-取费表'!G16,0)</f>
        <v>115</v>
      </c>
      <c r="G10" s="462"/>
      <c r="H10" s="136">
        <f>ROUND(100/'数据-取费表'!G16,0)</f>
        <v>115</v>
      </c>
      <c r="I10" s="462"/>
      <c r="J10" s="136">
        <f>ROUND(100/'数据-取费表'!G16,0)</f>
        <v>115</v>
      </c>
      <c r="K10" s="671"/>
      <c r="L10" s="1136"/>
      <c r="M10" s="1137"/>
      <c r="N10" s="1137"/>
      <c r="O10" s="1138"/>
      <c r="P10" s="3178"/>
      <c r="Q10" s="1795" t="str">
        <f t="shared" si="6"/>
        <v>土地使用年限（年）</v>
      </c>
      <c r="R10" s="769" t="s">
        <v>17</v>
      </c>
      <c r="S10" s="770">
        <f t="shared" si="0"/>
        <v>115</v>
      </c>
      <c r="T10" s="769" t="s">
        <v>17</v>
      </c>
      <c r="U10" s="770">
        <f t="shared" si="1"/>
        <v>115</v>
      </c>
      <c r="V10" s="769" t="s">
        <v>17</v>
      </c>
      <c r="W10" s="770">
        <f t="shared" si="2"/>
        <v>115</v>
      </c>
      <c r="X10" s="771"/>
      <c r="Y10" s="3033"/>
      <c r="Z10" s="55" t="str">
        <f t="shared" si="7"/>
        <v>土地使用年限（年）</v>
      </c>
      <c r="AA10" s="772">
        <f t="shared" si="3"/>
        <v>0.86956521739130432</v>
      </c>
      <c r="AB10" s="772">
        <f t="shared" si="4"/>
        <v>0.86956521739130432</v>
      </c>
      <c r="AC10" s="772">
        <f t="shared" si="5"/>
        <v>0.86956521739130432</v>
      </c>
    </row>
    <row r="11" spans="1:30" ht="15">
      <c r="A11" s="427"/>
      <c r="B11" s="421" t="s">
        <v>2557</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178"/>
      <c r="Q11" s="1795"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602" t="s">
        <v>2746</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178"/>
      <c r="Q12" s="1795"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178"/>
      <c r="Q13" s="1795">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78"/>
      <c r="Q14" s="1795">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9.75">
      <c r="A15" s="439" t="s">
        <v>2558</v>
      </c>
      <c r="B15" s="69"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85" t="s">
        <v>2559</v>
      </c>
      <c r="Q15" s="1810" t="str">
        <f t="shared" si="6"/>
        <v>居住社区成熟度</v>
      </c>
      <c r="R15" s="773" t="s">
        <v>17</v>
      </c>
      <c r="S15" s="774">
        <f t="shared" si="0"/>
        <v>100</v>
      </c>
      <c r="T15" s="773" t="s">
        <v>17</v>
      </c>
      <c r="U15" s="774">
        <f t="shared" si="1"/>
        <v>100</v>
      </c>
      <c r="V15" s="773" t="s">
        <v>17</v>
      </c>
      <c r="W15" s="774">
        <f t="shared" si="2"/>
        <v>100</v>
      </c>
      <c r="X15" s="1813"/>
      <c r="Y15" s="3185" t="s">
        <v>2559</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186"/>
      <c r="Q16" s="1810"/>
      <c r="R16" s="773"/>
      <c r="S16" s="774"/>
      <c r="T16" s="773"/>
      <c r="U16" s="774"/>
      <c r="V16" s="773"/>
      <c r="W16" s="774"/>
      <c r="X16" s="1813"/>
      <c r="Y16" s="3186"/>
      <c r="Z16" s="1814"/>
      <c r="AA16" s="1811">
        <v>1</v>
      </c>
      <c r="AB16" s="1811">
        <v>1</v>
      </c>
      <c r="AC16" s="1811">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86"/>
      <c r="Q17" s="1810" t="str">
        <f>B17</f>
        <v>商业繁华度</v>
      </c>
      <c r="R17" s="773" t="s">
        <v>17</v>
      </c>
      <c r="S17" s="774">
        <f>F17</f>
        <v>100</v>
      </c>
      <c r="T17" s="773" t="s">
        <v>17</v>
      </c>
      <c r="U17" s="774">
        <f>H17</f>
        <v>100</v>
      </c>
      <c r="V17" s="773" t="s">
        <v>17</v>
      </c>
      <c r="W17" s="774">
        <f>J17</f>
        <v>100</v>
      </c>
      <c r="X17" s="1813"/>
      <c r="Y17" s="3186"/>
      <c r="Z17" s="1814" t="str">
        <f>Q17</f>
        <v>商业繁华度</v>
      </c>
      <c r="AA17" s="1811">
        <f t="shared" si="3"/>
        <v>1</v>
      </c>
      <c r="AB17" s="1811">
        <f t="shared" si="4"/>
        <v>1</v>
      </c>
      <c r="AC17" s="1811">
        <f t="shared" si="5"/>
        <v>1</v>
      </c>
    </row>
    <row r="18" spans="1:29" ht="15">
      <c r="A18" s="427"/>
      <c r="B18" s="455"/>
      <c r="C18" s="2610"/>
      <c r="D18" s="449"/>
      <c r="E18" s="2612"/>
      <c r="F18" s="449"/>
      <c r="G18" s="2612"/>
      <c r="H18" s="447"/>
      <c r="I18" s="2611"/>
      <c r="J18" s="447"/>
      <c r="K18" s="671"/>
      <c r="L18" s="1141"/>
      <c r="M18" s="1132"/>
      <c r="N18" s="1132"/>
      <c r="O18" s="1140"/>
      <c r="P18" s="3186"/>
      <c r="Q18" s="1810"/>
      <c r="R18" s="773"/>
      <c r="S18" s="774"/>
      <c r="T18" s="773"/>
      <c r="U18" s="774"/>
      <c r="V18" s="773"/>
      <c r="W18" s="774"/>
      <c r="X18" s="1813"/>
      <c r="Y18" s="3186"/>
      <c r="Z18" s="1814"/>
      <c r="AA18" s="1811">
        <v>1</v>
      </c>
      <c r="AB18" s="1811">
        <v>1</v>
      </c>
      <c r="AC18" s="1811">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86"/>
      <c r="Q19" s="1810" t="str">
        <f>B19</f>
        <v>办公集聚程度</v>
      </c>
      <c r="R19" s="773" t="s">
        <v>17</v>
      </c>
      <c r="S19" s="774">
        <f>F19</f>
        <v>100</v>
      </c>
      <c r="T19" s="773" t="s">
        <v>17</v>
      </c>
      <c r="U19" s="774">
        <f>H19</f>
        <v>100</v>
      </c>
      <c r="V19" s="773" t="s">
        <v>17</v>
      </c>
      <c r="W19" s="774">
        <f>J19</f>
        <v>100</v>
      </c>
      <c r="X19" s="1813"/>
      <c r="Y19" s="3186"/>
      <c r="Z19" s="1814" t="str">
        <f>Q19</f>
        <v>办公集聚程度</v>
      </c>
      <c r="AA19" s="1811">
        <f t="shared" si="3"/>
        <v>1</v>
      </c>
      <c r="AB19" s="1811">
        <f t="shared" si="4"/>
        <v>1</v>
      </c>
      <c r="AC19" s="1811">
        <f t="shared" si="5"/>
        <v>1</v>
      </c>
    </row>
    <row r="20" spans="1:29" ht="15">
      <c r="A20" s="427"/>
      <c r="B20" s="455"/>
      <c r="C20" s="446"/>
      <c r="D20" s="447"/>
      <c r="E20" s="2607"/>
      <c r="F20" s="447"/>
      <c r="G20" s="2607"/>
      <c r="H20" s="447"/>
      <c r="I20" s="2606"/>
      <c r="J20" s="447"/>
      <c r="K20" s="671"/>
      <c r="L20" s="1141"/>
      <c r="M20" s="1132"/>
      <c r="N20" s="1132"/>
      <c r="O20" s="1140"/>
      <c r="P20" s="3186"/>
      <c r="Q20" s="1810"/>
      <c r="R20" s="773"/>
      <c r="S20" s="774"/>
      <c r="T20" s="773"/>
      <c r="U20" s="774"/>
      <c r="V20" s="773"/>
      <c r="W20" s="774"/>
      <c r="X20" s="1813"/>
      <c r="Y20" s="3186"/>
      <c r="Z20" s="1814"/>
      <c r="AA20" s="1811">
        <v>1</v>
      </c>
      <c r="AB20" s="1811">
        <v>1</v>
      </c>
      <c r="AC20" s="1811">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86"/>
      <c r="Q21" s="1810" t="str">
        <f>B21</f>
        <v>交通便捷度</v>
      </c>
      <c r="R21" s="773" t="s">
        <v>17</v>
      </c>
      <c r="S21" s="774">
        <f>F21</f>
        <v>100</v>
      </c>
      <c r="T21" s="773" t="s">
        <v>17</v>
      </c>
      <c r="U21" s="774">
        <f>H21</f>
        <v>100</v>
      </c>
      <c r="V21" s="773" t="s">
        <v>17</v>
      </c>
      <c r="W21" s="774">
        <f>J21</f>
        <v>100</v>
      </c>
      <c r="X21" s="1813"/>
      <c r="Y21" s="3186"/>
      <c r="Z21" s="1814" t="str">
        <f>Q21</f>
        <v>交通便捷度</v>
      </c>
      <c r="AA21" s="1811">
        <f t="shared" si="3"/>
        <v>1</v>
      </c>
      <c r="AB21" s="1811">
        <f t="shared" si="4"/>
        <v>1</v>
      </c>
      <c r="AC21" s="1811">
        <f t="shared" si="5"/>
        <v>1</v>
      </c>
    </row>
    <row r="22" spans="1:29" ht="15">
      <c r="A22" s="427"/>
      <c r="B22" s="1385"/>
      <c r="C22" s="446"/>
      <c r="D22" s="449"/>
      <c r="E22" s="2607"/>
      <c r="F22" s="447"/>
      <c r="G22" s="2607"/>
      <c r="H22" s="447"/>
      <c r="I22" s="2606"/>
      <c r="J22" s="447"/>
      <c r="K22" s="671"/>
      <c r="L22" s="1141"/>
      <c r="M22" s="1132"/>
      <c r="N22" s="1132"/>
      <c r="O22" s="1140"/>
      <c r="P22" s="3186"/>
      <c r="Q22" s="1810"/>
      <c r="R22" s="773"/>
      <c r="S22" s="774"/>
      <c r="T22" s="773"/>
      <c r="U22" s="774"/>
      <c r="V22" s="773"/>
      <c r="W22" s="774"/>
      <c r="X22" s="1813"/>
      <c r="Y22" s="3186"/>
      <c r="Z22" s="1814"/>
      <c r="AA22" s="1811">
        <v>1</v>
      </c>
      <c r="AB22" s="1811">
        <v>1</v>
      </c>
      <c r="AC22" s="1811">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86"/>
      <c r="Q23" s="1810" t="str">
        <f t="shared" ref="Q23:Q37" si="8">B23</f>
        <v>区域土地利用方向</v>
      </c>
      <c r="R23" s="773" t="s">
        <v>17</v>
      </c>
      <c r="S23" s="774">
        <f>F23</f>
        <v>100</v>
      </c>
      <c r="T23" s="773" t="s">
        <v>17</v>
      </c>
      <c r="U23" s="774">
        <f>H23</f>
        <v>100</v>
      </c>
      <c r="V23" s="773" t="s">
        <v>17</v>
      </c>
      <c r="W23" s="774">
        <f>J23</f>
        <v>100</v>
      </c>
      <c r="X23" s="1813"/>
      <c r="Y23" s="3186"/>
      <c r="Z23" s="1814" t="str">
        <f>Q23</f>
        <v>区域土地利用方向</v>
      </c>
      <c r="AA23" s="1811">
        <f t="shared" si="3"/>
        <v>1</v>
      </c>
      <c r="AB23" s="1811">
        <f t="shared" si="4"/>
        <v>1</v>
      </c>
      <c r="AC23" s="1811">
        <f t="shared" si="5"/>
        <v>1</v>
      </c>
    </row>
    <row r="24" spans="1:29" ht="15">
      <c r="A24" s="403"/>
      <c r="B24" s="455"/>
      <c r="C24" s="615"/>
      <c r="D24" s="447"/>
      <c r="E24" s="2607"/>
      <c r="F24" s="447"/>
      <c r="G24" s="2606"/>
      <c r="H24" s="447"/>
      <c r="I24" s="2606"/>
      <c r="J24" s="447"/>
      <c r="K24" s="810"/>
      <c r="L24" s="1141"/>
      <c r="M24" s="1132"/>
      <c r="N24" s="1132"/>
      <c r="O24" s="1140"/>
      <c r="P24" s="3186"/>
      <c r="Q24" s="1810"/>
      <c r="R24" s="773"/>
      <c r="S24" s="774"/>
      <c r="T24" s="773"/>
      <c r="U24" s="774"/>
      <c r="V24" s="773"/>
      <c r="W24" s="774"/>
      <c r="X24" s="1813"/>
      <c r="Y24" s="3186"/>
      <c r="Z24" s="1814"/>
      <c r="AA24" s="1811"/>
      <c r="AB24" s="1811"/>
      <c r="AC24" s="1811"/>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86"/>
      <c r="Q25" s="1810" t="str">
        <f t="shared" si="8"/>
        <v>自然及人文环境状况</v>
      </c>
      <c r="R25" s="773" t="s">
        <v>17</v>
      </c>
      <c r="S25" s="774">
        <f>F25</f>
        <v>100</v>
      </c>
      <c r="T25" s="773" t="s">
        <v>17</v>
      </c>
      <c r="U25" s="774">
        <f>H25</f>
        <v>100</v>
      </c>
      <c r="V25" s="773" t="s">
        <v>17</v>
      </c>
      <c r="W25" s="774">
        <f>J25</f>
        <v>100</v>
      </c>
      <c r="X25" s="1813"/>
      <c r="Y25" s="3186"/>
      <c r="Z25" s="1814" t="str">
        <f>Q25</f>
        <v>自然及人文环境状况</v>
      </c>
      <c r="AA25" s="1811">
        <f t="shared" si="3"/>
        <v>1</v>
      </c>
      <c r="AB25" s="1811">
        <f t="shared" si="4"/>
        <v>1</v>
      </c>
      <c r="AC25" s="1811">
        <f t="shared" si="5"/>
        <v>1</v>
      </c>
    </row>
    <row r="26" spans="1:29" ht="15">
      <c r="A26" s="403"/>
      <c r="B26" s="455"/>
      <c r="C26" s="446"/>
      <c r="D26" s="447"/>
      <c r="E26" s="2613"/>
      <c r="F26" s="447"/>
      <c r="G26" s="2613"/>
      <c r="H26" s="447"/>
      <c r="I26" s="446"/>
      <c r="J26" s="447"/>
      <c r="K26" s="671"/>
      <c r="L26" s="1141"/>
      <c r="M26" s="1132"/>
      <c r="N26" s="1132"/>
      <c r="O26" s="1140"/>
      <c r="P26" s="3186"/>
      <c r="Q26" s="1810"/>
      <c r="R26" s="773"/>
      <c r="S26" s="774"/>
      <c r="T26" s="773"/>
      <c r="U26" s="774"/>
      <c r="V26" s="773"/>
      <c r="W26" s="774"/>
      <c r="X26" s="1813"/>
      <c r="Y26" s="3186"/>
      <c r="Z26" s="1814"/>
      <c r="AA26" s="1811">
        <v>1</v>
      </c>
      <c r="AB26" s="1811">
        <v>1</v>
      </c>
      <c r="AC26" s="1811">
        <v>1</v>
      </c>
    </row>
    <row r="27" spans="1:29" s="117"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86"/>
      <c r="Q27" s="1795" t="str">
        <f t="shared" si="8"/>
        <v>公共配套设施</v>
      </c>
      <c r="R27" s="769" t="s">
        <v>17</v>
      </c>
      <c r="S27" s="770">
        <f>F27</f>
        <v>100</v>
      </c>
      <c r="T27" s="769" t="s">
        <v>17</v>
      </c>
      <c r="U27" s="770">
        <f>H27</f>
        <v>100</v>
      </c>
      <c r="V27" s="769" t="s">
        <v>17</v>
      </c>
      <c r="W27" s="770">
        <f>J27</f>
        <v>100</v>
      </c>
      <c r="X27" s="771"/>
      <c r="Y27" s="3186"/>
      <c r="Z27" s="55" t="str">
        <f>Q27</f>
        <v>公共配套设施</v>
      </c>
      <c r="AA27" s="1811">
        <f>D27/F27</f>
        <v>1</v>
      </c>
      <c r="AB27" s="1811">
        <f>D27/H27</f>
        <v>1</v>
      </c>
      <c r="AC27" s="1811">
        <f>D27/J27</f>
        <v>1</v>
      </c>
    </row>
    <row r="28" spans="1:29" s="117" customFormat="1" ht="15">
      <c r="A28" s="648"/>
      <c r="B28" s="455"/>
      <c r="C28" s="2702"/>
      <c r="D28" s="447"/>
      <c r="E28" s="2613"/>
      <c r="F28" s="447"/>
      <c r="G28" s="2613"/>
      <c r="H28" s="447"/>
      <c r="I28" s="446"/>
      <c r="J28" s="447"/>
      <c r="K28" s="671"/>
      <c r="L28" s="1133"/>
      <c r="M28" s="1134"/>
      <c r="N28" s="1134"/>
      <c r="O28" s="1135"/>
      <c r="P28" s="3186"/>
      <c r="Q28" s="1795"/>
      <c r="R28" s="769"/>
      <c r="S28" s="770"/>
      <c r="T28" s="769"/>
      <c r="U28" s="770"/>
      <c r="V28" s="769"/>
      <c r="W28" s="770"/>
      <c r="X28" s="771"/>
      <c r="Y28" s="3186"/>
      <c r="Z28" s="55"/>
      <c r="AA28" s="1811">
        <v>1</v>
      </c>
      <c r="AB28" s="1811">
        <v>1</v>
      </c>
      <c r="AC28" s="1811">
        <v>1</v>
      </c>
    </row>
    <row r="29" spans="1:29" s="117"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86"/>
      <c r="Q29" s="1795"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1">
        <f>D29/F29</f>
        <v>1</v>
      </c>
      <c r="AB29" s="1811">
        <f>D29/H29</f>
        <v>1</v>
      </c>
      <c r="AC29" s="1811">
        <f>D29/J29</f>
        <v>1</v>
      </c>
    </row>
    <row r="30" spans="1:29" s="117" customFormat="1" ht="15">
      <c r="A30" s="648"/>
      <c r="B30" s="455"/>
      <c r="C30" s="2702"/>
      <c r="D30" s="447"/>
      <c r="E30" s="2703"/>
      <c r="F30" s="447"/>
      <c r="G30" s="2703"/>
      <c r="H30" s="447"/>
      <c r="I30" s="2703"/>
      <c r="J30" s="447"/>
      <c r="K30" s="671"/>
      <c r="L30" s="1133"/>
      <c r="M30" s="1134"/>
      <c r="N30" s="1134"/>
      <c r="O30" s="1135"/>
      <c r="P30" s="3186"/>
      <c r="Q30" s="1795"/>
      <c r="R30" s="769"/>
      <c r="S30" s="770"/>
      <c r="T30" s="769"/>
      <c r="U30" s="770"/>
      <c r="V30" s="769"/>
      <c r="W30" s="770"/>
      <c r="X30" s="771"/>
      <c r="Y30" s="3186"/>
      <c r="Z30" s="55"/>
      <c r="AA30" s="1811">
        <v>1</v>
      </c>
      <c r="AB30" s="1811">
        <v>1</v>
      </c>
      <c r="AC30" s="1811">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86"/>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86"/>
      <c r="Z31" s="1814" t="str">
        <f t="shared" ref="Z31:Z45" si="13">Q31</f>
        <v>临街状况</v>
      </c>
      <c r="AA31" s="1811">
        <f t="shared" si="3"/>
        <v>1</v>
      </c>
      <c r="AB31" s="1811">
        <f t="shared" si="4"/>
        <v>1</v>
      </c>
      <c r="AC31" s="1811">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86"/>
      <c r="Q32" s="1810" t="str">
        <f t="shared" si="8"/>
        <v>毗邻道路的类型与等级</v>
      </c>
      <c r="R32" s="773" t="s">
        <v>17</v>
      </c>
      <c r="S32" s="774">
        <f t="shared" si="10"/>
        <v>100</v>
      </c>
      <c r="T32" s="773" t="s">
        <v>17</v>
      </c>
      <c r="U32" s="774">
        <f t="shared" si="11"/>
        <v>100</v>
      </c>
      <c r="V32" s="773" t="s">
        <v>17</v>
      </c>
      <c r="W32" s="774">
        <f t="shared" si="12"/>
        <v>100</v>
      </c>
      <c r="X32" s="1813"/>
      <c r="Y32" s="3186"/>
      <c r="Z32" s="1814" t="str">
        <f t="shared" si="13"/>
        <v>毗邻道路的类型与等级</v>
      </c>
      <c r="AA32" s="1811">
        <f t="shared" si="3"/>
        <v>1</v>
      </c>
      <c r="AB32" s="1811">
        <f t="shared" si="4"/>
        <v>1</v>
      </c>
      <c r="AC32" s="1811">
        <f t="shared" si="5"/>
        <v>1</v>
      </c>
    </row>
    <row r="33" spans="1:29" ht="15">
      <c r="A33" s="427"/>
      <c r="B33" s="455"/>
      <c r="C33" s="446"/>
      <c r="D33" s="447"/>
      <c r="E33" s="2613"/>
      <c r="F33" s="447"/>
      <c r="G33" s="2613"/>
      <c r="H33" s="447"/>
      <c r="I33" s="446"/>
      <c r="J33" s="447"/>
      <c r="K33" s="612"/>
      <c r="L33" s="1141"/>
      <c r="M33" s="1132"/>
      <c r="N33" s="1132"/>
      <c r="O33" s="1140"/>
      <c r="P33" s="3186"/>
      <c r="Q33" s="1810"/>
      <c r="R33" s="773"/>
      <c r="S33" s="774"/>
      <c r="T33" s="773"/>
      <c r="U33" s="774"/>
      <c r="V33" s="773"/>
      <c r="W33" s="774"/>
      <c r="X33" s="1813"/>
      <c r="Y33" s="3186"/>
      <c r="Z33" s="1814"/>
      <c r="AA33" s="1811">
        <v>1</v>
      </c>
      <c r="AB33" s="1811">
        <v>1</v>
      </c>
      <c r="AC33" s="1811">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86"/>
      <c r="Q34" s="1810" t="str">
        <f t="shared" si="8"/>
        <v>土地级别</v>
      </c>
      <c r="R34" s="773" t="s">
        <v>17</v>
      </c>
      <c r="S34" s="774">
        <f t="shared" si="10"/>
        <v>100</v>
      </c>
      <c r="T34" s="773" t="s">
        <v>17</v>
      </c>
      <c r="U34" s="774">
        <f t="shared" si="11"/>
        <v>100</v>
      </c>
      <c r="V34" s="773" t="s">
        <v>17</v>
      </c>
      <c r="W34" s="774">
        <f t="shared" si="12"/>
        <v>100</v>
      </c>
      <c r="X34" s="1813"/>
      <c r="Y34" s="3186"/>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86"/>
      <c r="Q35" s="1810">
        <f t="shared" si="8"/>
        <v>111</v>
      </c>
      <c r="R35" s="773" t="s">
        <v>17</v>
      </c>
      <c r="S35" s="774">
        <f t="shared" si="10"/>
        <v>100</v>
      </c>
      <c r="T35" s="773" t="s">
        <v>17</v>
      </c>
      <c r="U35" s="774">
        <f t="shared" si="11"/>
        <v>100</v>
      </c>
      <c r="V35" s="773" t="s">
        <v>17</v>
      </c>
      <c r="W35" s="774">
        <f t="shared" si="12"/>
        <v>100</v>
      </c>
      <c r="X35" s="1813"/>
      <c r="Y35" s="3186"/>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7" t="s">
        <v>2564</v>
      </c>
      <c r="Q36" s="1810">
        <f t="shared" si="8"/>
        <v>111</v>
      </c>
      <c r="R36" s="773" t="s">
        <v>17</v>
      </c>
      <c r="S36" s="774">
        <f t="shared" si="10"/>
        <v>100</v>
      </c>
      <c r="T36" s="773" t="s">
        <v>17</v>
      </c>
      <c r="U36" s="774">
        <f t="shared" si="11"/>
        <v>100</v>
      </c>
      <c r="V36" s="773" t="s">
        <v>17</v>
      </c>
      <c r="W36" s="774">
        <f t="shared" si="12"/>
        <v>100</v>
      </c>
      <c r="X36" s="1813"/>
      <c r="Y36" s="3190" t="s">
        <v>2564</v>
      </c>
      <c r="Z36" s="1814">
        <f t="shared" si="13"/>
        <v>111</v>
      </c>
      <c r="AA36" s="1811">
        <f t="shared" si="3"/>
        <v>1</v>
      </c>
      <c r="AB36" s="1811">
        <f t="shared" si="4"/>
        <v>1</v>
      </c>
      <c r="AC36" s="1811">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0"/>
      <c r="Q37" s="1810">
        <f t="shared" si="8"/>
        <v>111</v>
      </c>
      <c r="R37" s="776" t="s">
        <v>17</v>
      </c>
      <c r="S37" s="777">
        <f t="shared" si="10"/>
        <v>100</v>
      </c>
      <c r="T37" s="776" t="s">
        <v>17</v>
      </c>
      <c r="U37" s="777">
        <f t="shared" si="11"/>
        <v>100</v>
      </c>
      <c r="V37" s="776" t="s">
        <v>17</v>
      </c>
      <c r="W37" s="777">
        <f t="shared" si="12"/>
        <v>100</v>
      </c>
      <c r="X37" s="778"/>
      <c r="Y37" s="3190"/>
      <c r="Z37" s="779">
        <f t="shared" si="13"/>
        <v>111</v>
      </c>
      <c r="AA37" s="1811">
        <f t="shared" si="3"/>
        <v>1</v>
      </c>
      <c r="AB37" s="1811">
        <f t="shared" si="4"/>
        <v>1</v>
      </c>
      <c r="AC37" s="1811">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90"/>
      <c r="Q38" s="1810" t="str">
        <f>B38</f>
        <v>宗地面积</v>
      </c>
      <c r="R38" s="773" t="s">
        <v>17</v>
      </c>
      <c r="S38" s="774" t="e">
        <f t="shared" si="10"/>
        <v>#N/A</v>
      </c>
      <c r="T38" s="773" t="s">
        <v>17</v>
      </c>
      <c r="U38" s="774" t="e">
        <f t="shared" si="11"/>
        <v>#N/A</v>
      </c>
      <c r="V38" s="773" t="s">
        <v>17</v>
      </c>
      <c r="W38" s="774" t="e">
        <f t="shared" si="12"/>
        <v>#N/A</v>
      </c>
      <c r="X38" s="1813"/>
      <c r="Y38" s="3190"/>
      <c r="Z38" s="1814" t="str">
        <f t="shared" si="13"/>
        <v>宗地面积</v>
      </c>
      <c r="AA38" s="1811" t="e">
        <f t="shared" si="3"/>
        <v>#N/A</v>
      </c>
      <c r="AB38" s="1811" t="e">
        <f t="shared" si="4"/>
        <v>#N/A</v>
      </c>
      <c r="AC38" s="1811"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90"/>
      <c r="Q39" s="1810" t="str">
        <f t="shared" ref="Q39:Q45" si="14">B39</f>
        <v>宗地形状</v>
      </c>
      <c r="R39" s="773" t="s">
        <v>17</v>
      </c>
      <c r="S39" s="774">
        <f t="shared" si="10"/>
        <v>100</v>
      </c>
      <c r="T39" s="773" t="s">
        <v>17</v>
      </c>
      <c r="U39" s="774">
        <f t="shared" si="11"/>
        <v>100</v>
      </c>
      <c r="V39" s="773" t="s">
        <v>17</v>
      </c>
      <c r="W39" s="774">
        <f t="shared" si="12"/>
        <v>100</v>
      </c>
      <c r="X39" s="1813"/>
      <c r="Y39" s="3190"/>
      <c r="Z39" s="1814" t="str">
        <f t="shared" si="13"/>
        <v>宗地形状</v>
      </c>
      <c r="AA39" s="1811">
        <f t="shared" si="3"/>
        <v>1</v>
      </c>
      <c r="AB39" s="1811">
        <f t="shared" si="4"/>
        <v>1</v>
      </c>
      <c r="AC39" s="1811">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90"/>
      <c r="Q40" s="1810" t="str">
        <f t="shared" si="14"/>
        <v>临街宽度及深度</v>
      </c>
      <c r="R40" s="773" t="s">
        <v>17</v>
      </c>
      <c r="S40" s="774">
        <f t="shared" si="10"/>
        <v>100</v>
      </c>
      <c r="T40" s="773" t="s">
        <v>17</v>
      </c>
      <c r="U40" s="774">
        <f t="shared" si="11"/>
        <v>100</v>
      </c>
      <c r="V40" s="773" t="s">
        <v>17</v>
      </c>
      <c r="W40" s="774">
        <f t="shared" si="12"/>
        <v>100</v>
      </c>
      <c r="X40" s="1813"/>
      <c r="Y40" s="3190"/>
      <c r="Z40" s="1814" t="str">
        <f t="shared" si="13"/>
        <v>临街宽度及深度</v>
      </c>
      <c r="AA40" s="1811">
        <f t="shared" si="3"/>
        <v>1</v>
      </c>
      <c r="AB40" s="1811">
        <f t="shared" si="4"/>
        <v>1</v>
      </c>
      <c r="AC40" s="1811">
        <f t="shared" si="5"/>
        <v>1</v>
      </c>
    </row>
    <row r="41" spans="1:29" s="117" customFormat="1" ht="15">
      <c r="A41" s="472"/>
      <c r="B41" s="421" t="s">
        <v>2753</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90"/>
      <c r="Q41" s="1810"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90" t="s">
        <v>2564</v>
      </c>
      <c r="Q42" s="1810" t="str">
        <f t="shared" si="14"/>
        <v>工程地质条件</v>
      </c>
      <c r="R42" s="773" t="s">
        <v>17</v>
      </c>
      <c r="S42" s="774">
        <f t="shared" si="10"/>
        <v>100</v>
      </c>
      <c r="T42" s="773" t="s">
        <v>17</v>
      </c>
      <c r="U42" s="774">
        <f t="shared" si="11"/>
        <v>100</v>
      </c>
      <c r="V42" s="773" t="s">
        <v>17</v>
      </c>
      <c r="W42" s="774">
        <f t="shared" si="12"/>
        <v>100</v>
      </c>
      <c r="X42" s="1813"/>
      <c r="Y42" s="3190" t="s">
        <v>2564</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0"/>
      <c r="Q43" s="1810">
        <f t="shared" si="14"/>
        <v>111</v>
      </c>
      <c r="R43" s="773" t="s">
        <v>17</v>
      </c>
      <c r="S43" s="774">
        <f t="shared" si="10"/>
        <v>100</v>
      </c>
      <c r="T43" s="773" t="s">
        <v>17</v>
      </c>
      <c r="U43" s="774">
        <f t="shared" si="11"/>
        <v>100</v>
      </c>
      <c r="V43" s="773" t="s">
        <v>17</v>
      </c>
      <c r="W43" s="774">
        <f t="shared" si="12"/>
        <v>100</v>
      </c>
      <c r="X43" s="1813"/>
      <c r="Y43" s="3190"/>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0"/>
      <c r="Q44" s="1810">
        <f t="shared" si="14"/>
        <v>111</v>
      </c>
      <c r="R44" s="773" t="s">
        <v>17</v>
      </c>
      <c r="S44" s="774">
        <f t="shared" si="10"/>
        <v>100</v>
      </c>
      <c r="T44" s="773" t="s">
        <v>17</v>
      </c>
      <c r="U44" s="774">
        <f t="shared" si="11"/>
        <v>100</v>
      </c>
      <c r="V44" s="773" t="s">
        <v>17</v>
      </c>
      <c r="W44" s="774">
        <f t="shared" si="12"/>
        <v>100</v>
      </c>
      <c r="X44" s="1813"/>
      <c r="Y44" s="3190"/>
      <c r="Z44" s="1814">
        <f t="shared" si="13"/>
        <v>111</v>
      </c>
      <c r="AA44" s="1811">
        <f t="shared" si="3"/>
        <v>1</v>
      </c>
      <c r="AB44" s="1811">
        <f t="shared" si="4"/>
        <v>1</v>
      </c>
      <c r="AC44" s="1811">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0"/>
      <c r="Q45" s="1810">
        <f t="shared" si="14"/>
        <v>111</v>
      </c>
      <c r="R45" s="776" t="s">
        <v>17</v>
      </c>
      <c r="S45" s="777">
        <f t="shared" si="10"/>
        <v>100</v>
      </c>
      <c r="T45" s="776" t="s">
        <v>17</v>
      </c>
      <c r="U45" s="777">
        <f t="shared" si="11"/>
        <v>100</v>
      </c>
      <c r="V45" s="776" t="s">
        <v>17</v>
      </c>
      <c r="W45" s="777">
        <f t="shared" si="12"/>
        <v>100</v>
      </c>
      <c r="X45" s="778"/>
      <c r="Y45" s="3190"/>
      <c r="Z45" s="779">
        <f t="shared" si="13"/>
        <v>111</v>
      </c>
      <c r="AA45" s="1811">
        <f t="shared" si="3"/>
        <v>1</v>
      </c>
      <c r="AB45" s="1811">
        <f t="shared" si="4"/>
        <v>1</v>
      </c>
      <c r="AC45" s="1811">
        <f t="shared" si="5"/>
        <v>1</v>
      </c>
    </row>
    <row r="46" spans="1:29" ht="15">
      <c r="A46" s="478" t="s">
        <v>2719</v>
      </c>
      <c r="B46" s="2706" t="s">
        <v>2755</v>
      </c>
      <c r="C46" s="681" t="s">
        <v>1</v>
      </c>
      <c r="D46" s="480"/>
      <c r="E46" s="481"/>
      <c r="F46" s="482"/>
      <c r="G46" s="483"/>
      <c r="H46" s="484"/>
      <c r="I46" s="481"/>
      <c r="J46" s="484"/>
      <c r="K46" s="782"/>
      <c r="L46" s="1144"/>
      <c r="M46" s="1145"/>
      <c r="N46" s="1132"/>
      <c r="O46" s="1145"/>
      <c r="P46" s="3178" t="str">
        <f>A46</f>
        <v>成交单价</v>
      </c>
      <c r="Q46" s="3178"/>
      <c r="R46" s="3192">
        <f>E46</f>
        <v>0</v>
      </c>
      <c r="S46" s="3192"/>
      <c r="T46" s="3192">
        <f>G46</f>
        <v>0</v>
      </c>
      <c r="U46" s="3192"/>
      <c r="V46" s="3192">
        <f>I46</f>
        <v>0</v>
      </c>
      <c r="W46" s="3192"/>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178" t="str">
        <f>A47</f>
        <v>比较价值（元/平方米）</v>
      </c>
      <c r="Q47" s="3178"/>
      <c r="R47" s="3268" t="e">
        <f>ROUND(PRODUCT(R46,AA7:AA45),0)</f>
        <v>#DIV/0!</v>
      </c>
      <c r="S47" s="3268"/>
      <c r="T47" s="3268" t="e">
        <f>ROUND(PRODUCT(T46,AB7:AB45),0)</f>
        <v>#DIV/0!</v>
      </c>
      <c r="U47" s="3268"/>
      <c r="V47" s="3268" t="e">
        <f>ROUND(PRODUCT(V46,AC7:AC45),0)</f>
        <v>#DIV/0!</v>
      </c>
      <c r="W47" s="3268"/>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180" t="str">
        <f>A48</f>
        <v>估价对象XX用房的比较价值（楼面单价，元/平方米）</v>
      </c>
      <c r="Q48" s="3181"/>
      <c r="R48" s="3269" t="e">
        <f>ROUND(AVERAGE(R47:V47),0)</f>
        <v>#DIV/0!</v>
      </c>
      <c r="S48" s="3269"/>
      <c r="T48" s="3269"/>
      <c r="U48" s="3269"/>
      <c r="V48" s="3269"/>
      <c r="W48" s="326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7" t="s">
        <v>2763</v>
      </c>
      <c r="H55" s="3270"/>
      <c r="I55" s="144"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100439.20000000001</v>
      </c>
      <c r="F56" s="1104" t="e">
        <f t="shared" ref="F56:F65" si="15">ROUND(B56*E56/10000,0)</f>
        <v>#DIV/0!</v>
      </c>
      <c r="G56" s="3193"/>
      <c r="H56" s="3178"/>
      <c r="I56" s="1109">
        <v>1</v>
      </c>
      <c r="J56" s="1112">
        <v>1</v>
      </c>
      <c r="K56" s="1146"/>
      <c r="L56" s="942"/>
      <c r="M56" s="942"/>
      <c r="N56" s="942"/>
      <c r="O56" s="942"/>
    </row>
    <row r="57" spans="1:15" s="691" customFormat="1">
      <c r="A57" s="692" t="s">
        <v>2767</v>
      </c>
      <c r="B57" s="261" t="e">
        <f>ROUND($C$48*C57*D57,0)</f>
        <v>#DIV/0!</v>
      </c>
      <c r="C57" s="200">
        <f t="shared" ref="C57:C65" si="16">IF($C$55="北京市系数",I57,J57)</f>
        <v>0</v>
      </c>
      <c r="D57" s="1165">
        <v>0.25</v>
      </c>
      <c r="E57" s="693"/>
      <c r="F57" s="1104" t="e">
        <f t="shared" si="15"/>
        <v>#DIV/0!</v>
      </c>
      <c r="G57" s="3271" t="s">
        <v>2768</v>
      </c>
      <c r="H57" s="1105">
        <f>项目基本情况!B37</f>
        <v>0</v>
      </c>
      <c r="I57" s="1109">
        <f>SUMIF(修正!A45:A56,H57,修正!B45:B56)</f>
        <v>0</v>
      </c>
      <c r="J57" s="1113"/>
      <c r="K57" s="1145"/>
      <c r="L57" s="942"/>
      <c r="M57" s="942"/>
      <c r="N57" s="942"/>
      <c r="O57" s="942"/>
    </row>
    <row r="58" spans="1:15" s="691" customFormat="1">
      <c r="A58" s="692" t="s">
        <v>2769</v>
      </c>
      <c r="B58" s="261" t="e">
        <f t="shared" ref="B58:B65" si="17">ROUND($C$48*C58*D58,0)</f>
        <v>#DIV/0!</v>
      </c>
      <c r="C58" s="200">
        <f t="shared" si="16"/>
        <v>0</v>
      </c>
      <c r="D58" s="1165">
        <v>0.25</v>
      </c>
      <c r="E58" s="693"/>
      <c r="F58" s="1104" t="e">
        <f t="shared" si="15"/>
        <v>#DIV/0!</v>
      </c>
      <c r="G58" s="3271"/>
      <c r="H58" s="1105">
        <f>项目基本情况!B37</f>
        <v>0</v>
      </c>
      <c r="I58" s="1109">
        <f>SUMIF(修正!A45:A56,H58,修正!C45:C56)</f>
        <v>0</v>
      </c>
      <c r="J58" s="1113"/>
      <c r="K58" s="1146"/>
      <c r="L58" s="942"/>
      <c r="M58" s="942"/>
      <c r="N58" s="942"/>
      <c r="O58" s="942"/>
    </row>
    <row r="59" spans="1:15" s="691" customFormat="1">
      <c r="A59" s="692" t="s">
        <v>2770</v>
      </c>
      <c r="B59" s="261" t="e">
        <f t="shared" si="17"/>
        <v>#DIV/0!</v>
      </c>
      <c r="C59" s="200">
        <f t="shared" si="16"/>
        <v>0</v>
      </c>
      <c r="D59" s="1165">
        <v>0.25</v>
      </c>
      <c r="E59" s="693"/>
      <c r="F59" s="1104" t="e">
        <f t="shared" si="15"/>
        <v>#DIV/0!</v>
      </c>
      <c r="G59" s="3271"/>
      <c r="H59" s="1105">
        <f>项目基本情况!B37</f>
        <v>0</v>
      </c>
      <c r="I59" s="1109">
        <f>SUMIF(修正!A45:A56,H59,修正!D45:D56)</f>
        <v>0</v>
      </c>
      <c r="J59" s="1113"/>
      <c r="K59" s="1145"/>
      <c r="L59" s="942"/>
      <c r="M59" s="942"/>
      <c r="N59" s="942"/>
      <c r="O59" s="942"/>
    </row>
    <row r="60" spans="1:15" s="691" customFormat="1">
      <c r="A60" s="692" t="s">
        <v>2771</v>
      </c>
      <c r="B60" s="261" t="e">
        <f t="shared" si="17"/>
        <v>#DIV/0!</v>
      </c>
      <c r="C60" s="200">
        <f t="shared" si="16"/>
        <v>0</v>
      </c>
      <c r="D60" s="1165">
        <v>0.25</v>
      </c>
      <c r="E60" s="693"/>
      <c r="F60" s="1104" t="e">
        <f t="shared" si="15"/>
        <v>#DIV/0!</v>
      </c>
      <c r="G60" s="3271"/>
      <c r="H60" s="1105">
        <f>项目基本情况!B37</f>
        <v>0</v>
      </c>
      <c r="I60" s="1109">
        <f>SUMIF(修正!A45:A56,H60,修正!E45:E56)</f>
        <v>0</v>
      </c>
      <c r="J60" s="1113"/>
      <c r="K60" s="1146"/>
      <c r="L60" s="942"/>
      <c r="M60" s="942"/>
      <c r="N60" s="942"/>
      <c r="O60" s="942"/>
    </row>
    <row r="61" spans="1:15" s="691" customFormat="1">
      <c r="A61" s="692" t="s">
        <v>2772</v>
      </c>
      <c r="B61" s="261" t="e">
        <f t="shared" si="17"/>
        <v>#DIV/0!</v>
      </c>
      <c r="C61" s="200">
        <f t="shared" si="16"/>
        <v>0.3</v>
      </c>
      <c r="D61" s="1165">
        <v>0.25</v>
      </c>
      <c r="E61" s="260">
        <f>'数据-汇总表'!E11</f>
        <v>31910.54</v>
      </c>
      <c r="F61" s="1104" t="e">
        <f t="shared" si="15"/>
        <v>#DIV/0!</v>
      </c>
      <c r="G61" s="2711" t="s">
        <v>2773</v>
      </c>
      <c r="H61" s="1105" t="str">
        <f>项目基本情况!C37</f>
        <v>二级</v>
      </c>
      <c r="I61" s="1109">
        <f>SUMIF(修正!A45:A56,H61,修正!F45:F56)</f>
        <v>0.3</v>
      </c>
      <c r="J61" s="1113"/>
      <c r="K61" s="1145"/>
      <c r="L61" s="942"/>
      <c r="M61" s="942"/>
      <c r="N61" s="942"/>
      <c r="O61" s="942"/>
    </row>
    <row r="62" spans="1:15" s="691" customFormat="1">
      <c r="A62" s="692" t="s">
        <v>2774</v>
      </c>
      <c r="B62" s="261" t="e">
        <f t="shared" si="17"/>
        <v>#DIV/0!</v>
      </c>
      <c r="C62" s="200">
        <f t="shared" si="16"/>
        <v>0.3</v>
      </c>
      <c r="D62" s="1165">
        <v>0.25</v>
      </c>
      <c r="E62" s="260">
        <f>'数据-汇总表'!E12</f>
        <v>0</v>
      </c>
      <c r="F62" s="1104" t="e">
        <f t="shared" si="15"/>
        <v>#DIV/0!</v>
      </c>
      <c r="G62" s="1110" t="s">
        <v>2775</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1" customFormat="1">
      <c r="A63" s="692" t="s">
        <v>2776</v>
      </c>
      <c r="B63" s="261" t="e">
        <f t="shared" si="17"/>
        <v>#DIV/0!</v>
      </c>
      <c r="C63" s="200">
        <f t="shared" si="16"/>
        <v>0</v>
      </c>
      <c r="D63" s="1165">
        <v>0.25</v>
      </c>
      <c r="E63" s="260">
        <f>'数据-汇总表'!E13</f>
        <v>32281.690000000002</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2778</v>
      </c>
      <c r="B64" s="261" t="e">
        <f t="shared" si="17"/>
        <v>#DIV/0!</v>
      </c>
      <c r="C64" s="200">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2"/>
      <c r="M64" s="942"/>
      <c r="N64" s="942"/>
      <c r="O64" s="942"/>
    </row>
    <row r="65" spans="1:17" s="691" customFormat="1" ht="15" thickBot="1">
      <c r="A65" s="692" t="s">
        <v>2779</v>
      </c>
      <c r="B65" s="261" t="e">
        <f t="shared" si="17"/>
        <v>#DIV/0!</v>
      </c>
      <c r="C65" s="200">
        <f t="shared" si="16"/>
        <v>0.25</v>
      </c>
      <c r="D65" s="1165">
        <v>0.25</v>
      </c>
      <c r="E65" s="260">
        <f>'数据-汇总表'!E15</f>
        <v>0</v>
      </c>
      <c r="F65" s="1104" t="e">
        <f t="shared" si="15"/>
        <v>#DIV/0!</v>
      </c>
      <c r="G65" s="2712" t="s">
        <v>2773</v>
      </c>
      <c r="H65" s="1115" t="str">
        <f>项目基本情况!C37</f>
        <v>二级</v>
      </c>
      <c r="I65" s="1111">
        <f>SUMIF(修正!A45:A56,H65,修正!H45:H56)</f>
        <v>0.25</v>
      </c>
      <c r="J65" s="1114"/>
      <c r="K65" s="1145"/>
      <c r="L65" s="942"/>
      <c r="M65" s="942"/>
      <c r="N65" s="942"/>
      <c r="O65" s="942"/>
    </row>
    <row r="66" spans="1:17" s="691" customFormat="1" ht="13.5" thickBot="1">
      <c r="A66" s="694" t="s">
        <v>2780</v>
      </c>
      <c r="B66" s="695" t="s">
        <v>28</v>
      </c>
      <c r="C66" s="695" t="s">
        <v>29</v>
      </c>
      <c r="D66" s="695" t="s">
        <v>1029</v>
      </c>
      <c r="E66" s="695">
        <f>IF(B46="楼面地价",SUM(E56:E65),'数据-汇总表'!D3)</f>
        <v>164631.43000000002</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6"/>
    </row>
    <row r="71" spans="1:17" s="117" customFormat="1" ht="30" customHeight="1">
      <c r="A71" s="2714"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8"/>
      <c r="N71" s="594"/>
      <c r="O71" s="1569"/>
      <c r="P71" s="503"/>
    </row>
    <row r="72" spans="1:17" s="117" customFormat="1" ht="15.75" thickBot="1">
      <c r="A72" s="514" t="s">
        <v>2584</v>
      </c>
      <c r="B72" s="515"/>
      <c r="C72" s="516"/>
      <c r="D72" s="517"/>
      <c r="E72" s="517"/>
      <c r="F72" s="517"/>
      <c r="G72" s="517"/>
      <c r="H72" s="517"/>
      <c r="I72" s="517"/>
      <c r="J72" s="517"/>
      <c r="K72" s="517"/>
      <c r="L72" s="517"/>
      <c r="M72" s="518"/>
      <c r="N72" s="517"/>
      <c r="O72" s="1163"/>
      <c r="P72" s="503"/>
      <c r="Q72" s="503"/>
    </row>
    <row r="73" spans="1:17" s="117" customFormat="1" ht="15">
      <c r="A73" s="520" t="s">
        <v>2549</v>
      </c>
      <c r="B73" s="509"/>
      <c r="C73" s="521" t="s">
        <v>2651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3"/>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3"/>
      <c r="Y5" s="3209"/>
      <c r="Z5" s="3210"/>
      <c r="AA5" s="3195"/>
      <c r="AB5" s="3195"/>
      <c r="AC5" s="3195"/>
    </row>
    <row r="6" spans="1:29" ht="15.75" thickBot="1">
      <c r="A6" s="405"/>
      <c r="B6" s="406"/>
      <c r="C6" s="3272" t="s">
        <v>2796</v>
      </c>
      <c r="D6" s="3273"/>
      <c r="E6" s="3274" t="s">
        <v>2796</v>
      </c>
      <c r="F6" s="3275"/>
      <c r="G6" s="3272" t="s">
        <v>2796</v>
      </c>
      <c r="H6" s="3273"/>
      <c r="I6" s="3272" t="s">
        <v>2796</v>
      </c>
      <c r="J6" s="3273"/>
      <c r="K6" s="609" t="s">
        <v>2546</v>
      </c>
      <c r="L6" s="1131"/>
      <c r="M6" s="1132"/>
      <c r="N6" s="1132"/>
      <c r="O6" s="1132"/>
      <c r="P6" s="3205"/>
      <c r="Q6" s="3206"/>
      <c r="R6" s="3209"/>
      <c r="S6" s="3210"/>
      <c r="T6" s="3211"/>
      <c r="U6" s="3212"/>
      <c r="V6" s="3192"/>
      <c r="W6" s="3192"/>
      <c r="X6" s="1813"/>
      <c r="Y6" s="3211"/>
      <c r="Z6" s="3212"/>
      <c r="AA6" s="3196"/>
      <c r="AB6" s="3196"/>
      <c r="AC6" s="3196"/>
    </row>
    <row r="7" spans="1:29" s="117" customFormat="1" ht="15.75" thickBot="1">
      <c r="A7" s="407" t="s">
        <v>2547</v>
      </c>
      <c r="B7" s="408"/>
      <c r="C7" s="409">
        <f>'数据-取费表'!B2</f>
        <v>43468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0" si="3">D8/F8</f>
        <v>#DIV/0!</v>
      </c>
      <c r="AB8" s="772" t="e">
        <f t="shared" ref="AB8:AB40" si="4">D8/H8</f>
        <v>#DIV/0!</v>
      </c>
      <c r="AC8" s="772" t="e">
        <f t="shared" ref="AC8:AC40" si="5">D8/J8</f>
        <v>#DIV/0!</v>
      </c>
    </row>
    <row r="9" spans="1:29" s="117" customFormat="1">
      <c r="A9" s="414" t="s">
        <v>2552</v>
      </c>
      <c r="B9" s="71" t="s">
        <v>2553</v>
      </c>
      <c r="C9" s="2701"/>
      <c r="D9" s="135">
        <v>100</v>
      </c>
      <c r="E9" s="2701"/>
      <c r="F9" s="135">
        <f>SUMIF(70:70,E9,71:71)-SUMIF(70:70,C9,71:71)+100</f>
        <v>100</v>
      </c>
      <c r="G9" s="2701"/>
      <c r="H9" s="135">
        <f>SUMIF(70:70,G9,71:71)-SUMIF(70:70,C9,71:71)+100</f>
        <v>100</v>
      </c>
      <c r="I9" s="2701"/>
      <c r="J9" s="135">
        <f>SUMIF(70:70,I9,71:71)-SUMIF(70:70,C9,71:71)+100</f>
        <v>100</v>
      </c>
      <c r="K9" s="610"/>
      <c r="L9" s="1133"/>
      <c r="M9" s="1134"/>
      <c r="N9" s="1134"/>
      <c r="O9" s="1135"/>
      <c r="P9" s="3178" t="s">
        <v>2554</v>
      </c>
      <c r="Q9" s="1795"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31"/>
      <c r="D10" s="136">
        <v>100</v>
      </c>
      <c r="E10" s="431"/>
      <c r="F10" s="136">
        <f>ROUND(100/'数据-取费表'!G16,0)</f>
        <v>115</v>
      </c>
      <c r="G10" s="431"/>
      <c r="H10" s="136">
        <f>ROUND(100/'数据-取费表'!G16,0)</f>
        <v>115</v>
      </c>
      <c r="I10" s="431"/>
      <c r="J10" s="136">
        <f>ROUND(100/'数据-取费表'!G16,0)</f>
        <v>115</v>
      </c>
      <c r="K10" s="671"/>
      <c r="L10" s="1136"/>
      <c r="M10" s="1137"/>
      <c r="N10" s="1137"/>
      <c r="O10" s="1138"/>
      <c r="P10" s="3178"/>
      <c r="Q10" s="1795" t="str">
        <f t="shared" si="6"/>
        <v>土地使用年限（年）</v>
      </c>
      <c r="R10" s="769" t="s">
        <v>17</v>
      </c>
      <c r="S10" s="770">
        <f t="shared" si="0"/>
        <v>115</v>
      </c>
      <c r="T10" s="769" t="s">
        <v>17</v>
      </c>
      <c r="U10" s="770">
        <f t="shared" si="1"/>
        <v>115</v>
      </c>
      <c r="V10" s="769" t="s">
        <v>17</v>
      </c>
      <c r="W10" s="770">
        <f t="shared" si="2"/>
        <v>115</v>
      </c>
      <c r="X10" s="771"/>
      <c r="Y10" s="3033"/>
      <c r="Z10" s="55" t="str">
        <f t="shared" si="7"/>
        <v>土地使用年限（年）</v>
      </c>
      <c r="AA10" s="772">
        <f t="shared" si="3"/>
        <v>0.86956521739130432</v>
      </c>
      <c r="AB10" s="772">
        <f t="shared" si="4"/>
        <v>0.86956521739130432</v>
      </c>
      <c r="AC10" s="772">
        <f t="shared" si="5"/>
        <v>0.86956521739130432</v>
      </c>
    </row>
    <row r="11" spans="1:29" ht="15">
      <c r="A11" s="427"/>
      <c r="B11" s="421" t="s">
        <v>2557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178"/>
      <c r="Q11" s="1795"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178"/>
      <c r="Q12" s="1795">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178"/>
      <c r="Q13" s="1795">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78"/>
      <c r="Q14" s="1795">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85" t="s">
        <v>2559</v>
      </c>
      <c r="Q15" s="1810" t="str">
        <f t="shared" si="6"/>
        <v>产业集聚程度</v>
      </c>
      <c r="R15" s="773" t="s">
        <v>17</v>
      </c>
      <c r="S15" s="774">
        <f t="shared" si="0"/>
        <v>100</v>
      </c>
      <c r="T15" s="773" t="s">
        <v>17</v>
      </c>
      <c r="U15" s="774">
        <f t="shared" si="1"/>
        <v>100</v>
      </c>
      <c r="V15" s="773" t="s">
        <v>17</v>
      </c>
      <c r="W15" s="774">
        <f t="shared" si="2"/>
        <v>100</v>
      </c>
      <c r="X15" s="1813"/>
      <c r="Y15" s="3185" t="s">
        <v>2559</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186"/>
      <c r="Q16" s="1810"/>
      <c r="R16" s="773"/>
      <c r="S16" s="774"/>
      <c r="T16" s="773"/>
      <c r="U16" s="774"/>
      <c r="V16" s="773"/>
      <c r="W16" s="774"/>
      <c r="X16" s="1813"/>
      <c r="Y16" s="3186"/>
      <c r="Z16" s="1814"/>
      <c r="AA16" s="1811">
        <v>1</v>
      </c>
      <c r="AB16" s="1811">
        <v>1</v>
      </c>
      <c r="AC16" s="1811">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86"/>
      <c r="Q17" s="1810" t="str">
        <f>B17</f>
        <v>交通便捷度</v>
      </c>
      <c r="R17" s="773" t="s">
        <v>17</v>
      </c>
      <c r="S17" s="774">
        <f>F17</f>
        <v>100</v>
      </c>
      <c r="T17" s="773" t="s">
        <v>17</v>
      </c>
      <c r="U17" s="774">
        <f>H17</f>
        <v>100</v>
      </c>
      <c r="V17" s="773" t="s">
        <v>17</v>
      </c>
      <c r="W17" s="774">
        <f>J17</f>
        <v>100</v>
      </c>
      <c r="X17" s="1813"/>
      <c r="Y17" s="3186"/>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186"/>
      <c r="Q18" s="1810"/>
      <c r="R18" s="773"/>
      <c r="S18" s="774"/>
      <c r="T18" s="773"/>
      <c r="U18" s="774"/>
      <c r="V18" s="773"/>
      <c r="W18" s="774"/>
      <c r="X18" s="1813"/>
      <c r="Y18" s="3186"/>
      <c r="Z18" s="1814"/>
      <c r="AA18" s="1811">
        <v>1</v>
      </c>
      <c r="AB18" s="1811">
        <v>1</v>
      </c>
      <c r="AC18" s="1811">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86"/>
      <c r="Q19" s="1810" t="str">
        <f t="shared" ref="Q19:Q33" si="8">B19</f>
        <v>区域土地利用方向</v>
      </c>
      <c r="R19" s="773" t="s">
        <v>17</v>
      </c>
      <c r="S19" s="774">
        <f>F19</f>
        <v>100</v>
      </c>
      <c r="T19" s="773" t="s">
        <v>17</v>
      </c>
      <c r="U19" s="774">
        <f>H19</f>
        <v>100</v>
      </c>
      <c r="V19" s="773" t="s">
        <v>17</v>
      </c>
      <c r="W19" s="774">
        <f>J19</f>
        <v>100</v>
      </c>
      <c r="X19" s="1813"/>
      <c r="Y19" s="3186"/>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186"/>
      <c r="Q20" s="1810"/>
      <c r="R20" s="773"/>
      <c r="S20" s="774"/>
      <c r="T20" s="773"/>
      <c r="U20" s="774"/>
      <c r="V20" s="773"/>
      <c r="W20" s="774"/>
      <c r="X20" s="1813"/>
      <c r="Y20" s="3186"/>
      <c r="Z20" s="1814"/>
      <c r="AA20" s="1811"/>
      <c r="AB20" s="1811"/>
      <c r="AC20" s="1811"/>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86"/>
      <c r="Q21" s="1810" t="str">
        <f t="shared" si="8"/>
        <v>环境状况</v>
      </c>
      <c r="R21" s="773" t="s">
        <v>17</v>
      </c>
      <c r="S21" s="774">
        <f>F21</f>
        <v>100</v>
      </c>
      <c r="T21" s="773" t="s">
        <v>17</v>
      </c>
      <c r="U21" s="774">
        <f>H21</f>
        <v>100</v>
      </c>
      <c r="V21" s="773" t="s">
        <v>17</v>
      </c>
      <c r="W21" s="774">
        <f>J21</f>
        <v>100</v>
      </c>
      <c r="X21" s="1813"/>
      <c r="Y21" s="3186"/>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186"/>
      <c r="Q22" s="1810"/>
      <c r="R22" s="773"/>
      <c r="S22" s="774"/>
      <c r="T22" s="773"/>
      <c r="U22" s="774"/>
      <c r="V22" s="773"/>
      <c r="W22" s="774"/>
      <c r="X22" s="1813"/>
      <c r="Y22" s="3186"/>
      <c r="Z22" s="1814"/>
      <c r="AA22" s="1811">
        <v>1</v>
      </c>
      <c r="AB22" s="1811">
        <v>1</v>
      </c>
      <c r="AC22" s="1811">
        <v>1</v>
      </c>
    </row>
    <row r="23" spans="1:29" s="117"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86"/>
      <c r="Q23" s="1795" t="str">
        <f t="shared" si="8"/>
        <v>公共配套设施</v>
      </c>
      <c r="R23" s="769" t="s">
        <v>17</v>
      </c>
      <c r="S23" s="770">
        <f>F23</f>
        <v>100</v>
      </c>
      <c r="T23" s="769" t="s">
        <v>17</v>
      </c>
      <c r="U23" s="770">
        <f>H23</f>
        <v>100</v>
      </c>
      <c r="V23" s="769" t="s">
        <v>17</v>
      </c>
      <c r="W23" s="770">
        <f>J23</f>
        <v>100</v>
      </c>
      <c r="X23" s="771"/>
      <c r="Y23" s="3186"/>
      <c r="Z23" s="55" t="str">
        <f>Q23</f>
        <v>公共配套设施</v>
      </c>
      <c r="AA23" s="1811">
        <f>D23/F23</f>
        <v>1</v>
      </c>
      <c r="AB23" s="1811">
        <f>D23/H23</f>
        <v>1</v>
      </c>
      <c r="AC23" s="1811">
        <f>D23/J23</f>
        <v>1</v>
      </c>
    </row>
    <row r="24" spans="1:29" s="117" customFormat="1" ht="15">
      <c r="A24" s="648"/>
      <c r="B24" s="631"/>
      <c r="C24" s="2702"/>
      <c r="D24" s="447"/>
      <c r="E24" s="2613"/>
      <c r="F24" s="447"/>
      <c r="G24" s="2613"/>
      <c r="H24" s="447"/>
      <c r="I24" s="446"/>
      <c r="J24" s="447"/>
      <c r="K24" s="671"/>
      <c r="L24" s="1133"/>
      <c r="M24" s="1134"/>
      <c r="N24" s="1134"/>
      <c r="O24" s="1135"/>
      <c r="P24" s="3186"/>
      <c r="Q24" s="1795"/>
      <c r="R24" s="769"/>
      <c r="S24" s="770"/>
      <c r="T24" s="769"/>
      <c r="U24" s="770"/>
      <c r="V24" s="769"/>
      <c r="W24" s="770"/>
      <c r="X24" s="771"/>
      <c r="Y24" s="3186"/>
      <c r="Z24" s="55"/>
      <c r="AA24" s="772">
        <v>1</v>
      </c>
      <c r="AB24" s="772">
        <v>1</v>
      </c>
      <c r="AC24" s="772">
        <v>1</v>
      </c>
    </row>
    <row r="25" spans="1:29" s="117"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86"/>
      <c r="Q25" s="1795"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1">
        <f>D25/F25</f>
        <v>1</v>
      </c>
      <c r="AB25" s="1811">
        <f>D25/H25</f>
        <v>1</v>
      </c>
      <c r="AC25" s="1811">
        <f>D25/J25</f>
        <v>1</v>
      </c>
    </row>
    <row r="26" spans="1:29" s="117" customFormat="1" ht="15">
      <c r="A26" s="648"/>
      <c r="B26" s="631"/>
      <c r="C26" s="2702"/>
      <c r="D26" s="447"/>
      <c r="E26" s="2703"/>
      <c r="F26" s="447"/>
      <c r="G26" s="2703"/>
      <c r="H26" s="447"/>
      <c r="I26" s="2703"/>
      <c r="J26" s="447"/>
      <c r="K26" s="671"/>
      <c r="L26" s="1133"/>
      <c r="M26" s="1134"/>
      <c r="N26" s="1134"/>
      <c r="O26" s="1135"/>
      <c r="P26" s="3186"/>
      <c r="Q26" s="1795"/>
      <c r="R26" s="769"/>
      <c r="S26" s="770"/>
      <c r="T26" s="769"/>
      <c r="U26" s="770"/>
      <c r="V26" s="769"/>
      <c r="W26" s="770"/>
      <c r="X26" s="771"/>
      <c r="Y26" s="3186"/>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86"/>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186"/>
      <c r="Z27" s="1814" t="str">
        <f t="shared" ref="Z27:Z40" si="13">Q27</f>
        <v>临街状况</v>
      </c>
      <c r="AA27" s="1811">
        <f t="shared" si="3"/>
        <v>1</v>
      </c>
      <c r="AB27" s="1811">
        <f t="shared" si="4"/>
        <v>1</v>
      </c>
      <c r="AC27" s="1811">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86"/>
      <c r="Q28" s="1810" t="str">
        <f t="shared" si="8"/>
        <v>毗邻道路的类型与等级</v>
      </c>
      <c r="R28" s="773" t="s">
        <v>17</v>
      </c>
      <c r="S28" s="774">
        <f t="shared" si="10"/>
        <v>100</v>
      </c>
      <c r="T28" s="773" t="s">
        <v>17</v>
      </c>
      <c r="U28" s="774">
        <f t="shared" si="11"/>
        <v>100</v>
      </c>
      <c r="V28" s="773" t="s">
        <v>17</v>
      </c>
      <c r="W28" s="774">
        <f t="shared" si="12"/>
        <v>100</v>
      </c>
      <c r="X28" s="1813"/>
      <c r="Y28" s="3186"/>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186"/>
      <c r="Q29" s="1810"/>
      <c r="R29" s="773"/>
      <c r="S29" s="774"/>
      <c r="T29" s="773"/>
      <c r="U29" s="774"/>
      <c r="V29" s="773"/>
      <c r="W29" s="774"/>
      <c r="X29" s="1813"/>
      <c r="Y29" s="3186"/>
      <c r="Z29" s="1814"/>
      <c r="AA29" s="1811">
        <v>1</v>
      </c>
      <c r="AB29" s="1811">
        <v>1</v>
      </c>
      <c r="AC29" s="1811">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86"/>
      <c r="Q30" s="1810" t="str">
        <f t="shared" si="8"/>
        <v>土地级别</v>
      </c>
      <c r="R30" s="773" t="s">
        <v>17</v>
      </c>
      <c r="S30" s="774">
        <f t="shared" si="10"/>
        <v>100</v>
      </c>
      <c r="T30" s="773" t="s">
        <v>17</v>
      </c>
      <c r="U30" s="774">
        <f t="shared" si="11"/>
        <v>100</v>
      </c>
      <c r="V30" s="773" t="s">
        <v>17</v>
      </c>
      <c r="W30" s="774">
        <f t="shared" si="12"/>
        <v>100</v>
      </c>
      <c r="X30" s="1813"/>
      <c r="Y30" s="3186"/>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86"/>
      <c r="Q31" s="1810">
        <f t="shared" si="8"/>
        <v>111</v>
      </c>
      <c r="R31" s="773" t="s">
        <v>17</v>
      </c>
      <c r="S31" s="774">
        <f t="shared" si="10"/>
        <v>100</v>
      </c>
      <c r="T31" s="773" t="s">
        <v>17</v>
      </c>
      <c r="U31" s="774">
        <f t="shared" si="11"/>
        <v>100</v>
      </c>
      <c r="V31" s="773" t="s">
        <v>17</v>
      </c>
      <c r="W31" s="774">
        <f t="shared" si="12"/>
        <v>100</v>
      </c>
      <c r="X31" s="1813"/>
      <c r="Y31" s="3186"/>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7" t="s">
        <v>2564</v>
      </c>
      <c r="Q32" s="1810">
        <f t="shared" si="8"/>
        <v>111</v>
      </c>
      <c r="R32" s="773" t="s">
        <v>17</v>
      </c>
      <c r="S32" s="774">
        <f t="shared" si="10"/>
        <v>100</v>
      </c>
      <c r="T32" s="773" t="s">
        <v>17</v>
      </c>
      <c r="U32" s="774">
        <f t="shared" si="11"/>
        <v>100</v>
      </c>
      <c r="V32" s="773" t="s">
        <v>17</v>
      </c>
      <c r="W32" s="774">
        <f t="shared" si="12"/>
        <v>100</v>
      </c>
      <c r="X32" s="1813"/>
      <c r="Y32" s="3190" t="s">
        <v>2564</v>
      </c>
      <c r="Z32" s="1814">
        <f t="shared" si="13"/>
        <v>111</v>
      </c>
      <c r="AA32" s="1811">
        <f t="shared" si="3"/>
        <v>1</v>
      </c>
      <c r="AB32" s="1811">
        <f t="shared" si="4"/>
        <v>1</v>
      </c>
      <c r="AC32" s="1811">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0"/>
      <c r="Q33" s="1810">
        <f t="shared" si="8"/>
        <v>111</v>
      </c>
      <c r="R33" s="776" t="s">
        <v>17</v>
      </c>
      <c r="S33" s="777">
        <f t="shared" si="10"/>
        <v>100</v>
      </c>
      <c r="T33" s="776" t="s">
        <v>17</v>
      </c>
      <c r="U33" s="777">
        <f t="shared" si="11"/>
        <v>100</v>
      </c>
      <c r="V33" s="776" t="s">
        <v>17</v>
      </c>
      <c r="W33" s="777">
        <f t="shared" si="12"/>
        <v>100</v>
      </c>
      <c r="X33" s="778"/>
      <c r="Y33" s="3190"/>
      <c r="Z33" s="779">
        <f t="shared" si="13"/>
        <v>111</v>
      </c>
      <c r="AA33" s="1811">
        <f t="shared" si="3"/>
        <v>1</v>
      </c>
      <c r="AB33" s="1811">
        <f t="shared" si="4"/>
        <v>1</v>
      </c>
      <c r="AC33" s="1811">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90"/>
      <c r="Q34" s="1810" t="str">
        <f>B34</f>
        <v>宗地面积</v>
      </c>
      <c r="R34" s="773" t="s">
        <v>17</v>
      </c>
      <c r="S34" s="774" t="e">
        <f t="shared" si="10"/>
        <v>#N/A</v>
      </c>
      <c r="T34" s="773" t="s">
        <v>17</v>
      </c>
      <c r="U34" s="774" t="e">
        <f t="shared" si="11"/>
        <v>#N/A</v>
      </c>
      <c r="V34" s="773" t="s">
        <v>17</v>
      </c>
      <c r="W34" s="774" t="e">
        <f t="shared" si="12"/>
        <v>#N/A</v>
      </c>
      <c r="X34" s="1813"/>
      <c r="Y34" s="3190"/>
      <c r="Z34" s="1814" t="str">
        <f t="shared" si="13"/>
        <v>宗地面积</v>
      </c>
      <c r="AA34" s="1811" t="e">
        <f t="shared" si="3"/>
        <v>#N/A</v>
      </c>
      <c r="AB34" s="1811" t="e">
        <f t="shared" si="4"/>
        <v>#N/A</v>
      </c>
      <c r="AC34" s="1811" t="e">
        <f t="shared" si="5"/>
        <v>#N/A</v>
      </c>
    </row>
    <row r="35" spans="1:29" ht="15">
      <c r="A35" s="471"/>
      <c r="B35" s="421" t="s">
        <v>2751</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90"/>
      <c r="Q35" s="1810" t="str">
        <f t="shared" ref="Q35:Q40" si="14">B35</f>
        <v>宗地形状</v>
      </c>
      <c r="R35" s="773" t="s">
        <v>17</v>
      </c>
      <c r="S35" s="774">
        <f t="shared" si="10"/>
        <v>100</v>
      </c>
      <c r="T35" s="773" t="s">
        <v>17</v>
      </c>
      <c r="U35" s="774">
        <f t="shared" si="11"/>
        <v>100</v>
      </c>
      <c r="V35" s="773" t="s">
        <v>17</v>
      </c>
      <c r="W35" s="774">
        <f t="shared" si="12"/>
        <v>100</v>
      </c>
      <c r="X35" s="1813"/>
      <c r="Y35" s="3190"/>
      <c r="Z35" s="1814" t="str">
        <f t="shared" si="13"/>
        <v>宗地形状</v>
      </c>
      <c r="AA35" s="1811">
        <f t="shared" si="3"/>
        <v>1</v>
      </c>
      <c r="AB35" s="1811">
        <f t="shared" si="4"/>
        <v>1</v>
      </c>
      <c r="AC35" s="1811">
        <f t="shared" si="5"/>
        <v>1</v>
      </c>
    </row>
    <row r="36" spans="1:29" s="117" customFormat="1" ht="15">
      <c r="A36" s="472"/>
      <c r="B36" s="421" t="s">
        <v>2753</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90"/>
      <c r="Q36" s="1810"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1"/>
      <c r="B37" s="421" t="s">
        <v>2754</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90" t="s">
        <v>2564</v>
      </c>
      <c r="Q37" s="1810" t="str">
        <f t="shared" si="14"/>
        <v>工程地质条件</v>
      </c>
      <c r="R37" s="773" t="s">
        <v>17</v>
      </c>
      <c r="S37" s="774">
        <f t="shared" si="10"/>
        <v>100</v>
      </c>
      <c r="T37" s="773" t="s">
        <v>17</v>
      </c>
      <c r="U37" s="774">
        <f t="shared" si="11"/>
        <v>100</v>
      </c>
      <c r="V37" s="773" t="s">
        <v>17</v>
      </c>
      <c r="W37" s="774">
        <f t="shared" si="12"/>
        <v>100</v>
      </c>
      <c r="X37" s="1813"/>
      <c r="Y37" s="3190" t="s">
        <v>2564</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0"/>
      <c r="Q38" s="1810">
        <f t="shared" si="14"/>
        <v>111</v>
      </c>
      <c r="R38" s="773" t="s">
        <v>17</v>
      </c>
      <c r="S38" s="774">
        <f t="shared" si="10"/>
        <v>100</v>
      </c>
      <c r="T38" s="773" t="s">
        <v>17</v>
      </c>
      <c r="U38" s="774">
        <f t="shared" si="11"/>
        <v>100</v>
      </c>
      <c r="V38" s="773" t="s">
        <v>17</v>
      </c>
      <c r="W38" s="774">
        <f t="shared" si="12"/>
        <v>100</v>
      </c>
      <c r="X38" s="1813"/>
      <c r="Y38" s="3190"/>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0"/>
      <c r="Q39" s="1810">
        <f t="shared" si="14"/>
        <v>111</v>
      </c>
      <c r="R39" s="773" t="s">
        <v>17</v>
      </c>
      <c r="S39" s="774">
        <f t="shared" si="10"/>
        <v>100</v>
      </c>
      <c r="T39" s="773" t="s">
        <v>17</v>
      </c>
      <c r="U39" s="774">
        <f t="shared" si="11"/>
        <v>100</v>
      </c>
      <c r="V39" s="773" t="s">
        <v>17</v>
      </c>
      <c r="W39" s="774">
        <f t="shared" si="12"/>
        <v>100</v>
      </c>
      <c r="X39" s="1813"/>
      <c r="Y39" s="3190"/>
      <c r="Z39" s="1814">
        <f t="shared" si="13"/>
        <v>111</v>
      </c>
      <c r="AA39" s="1811">
        <f t="shared" si="3"/>
        <v>1</v>
      </c>
      <c r="AB39" s="1811">
        <f t="shared" si="4"/>
        <v>1</v>
      </c>
      <c r="AC39" s="1811">
        <f t="shared" si="5"/>
        <v>1</v>
      </c>
    </row>
    <row r="40" spans="1:29" s="470" customFormat="1" ht="15.75" thickBot="1">
      <c r="A40" s="467"/>
      <c r="B40" s="1388">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0"/>
      <c r="Q40" s="1810">
        <f t="shared" si="14"/>
        <v>111</v>
      </c>
      <c r="R40" s="776" t="s">
        <v>17</v>
      </c>
      <c r="S40" s="777">
        <f t="shared" si="10"/>
        <v>100</v>
      </c>
      <c r="T40" s="776" t="s">
        <v>17</v>
      </c>
      <c r="U40" s="777">
        <f t="shared" si="11"/>
        <v>100</v>
      </c>
      <c r="V40" s="776" t="s">
        <v>17</v>
      </c>
      <c r="W40" s="777">
        <f t="shared" si="12"/>
        <v>100</v>
      </c>
      <c r="X40" s="778"/>
      <c r="Y40" s="3190"/>
      <c r="Z40" s="779">
        <f t="shared" si="13"/>
        <v>111</v>
      </c>
      <c r="AA40" s="1811">
        <f t="shared" si="3"/>
        <v>1</v>
      </c>
      <c r="AB40" s="1811">
        <f t="shared" si="4"/>
        <v>1</v>
      </c>
      <c r="AC40" s="1811">
        <f t="shared" si="5"/>
        <v>1</v>
      </c>
    </row>
    <row r="41" spans="1:29" ht="15">
      <c r="A41" s="478" t="s">
        <v>2719</v>
      </c>
      <c r="B41" s="2706" t="s">
        <v>2799</v>
      </c>
      <c r="C41" s="681" t="s">
        <v>1</v>
      </c>
      <c r="D41" s="480"/>
      <c r="E41" s="481"/>
      <c r="F41" s="482"/>
      <c r="G41" s="483"/>
      <c r="H41" s="484"/>
      <c r="I41" s="481"/>
      <c r="J41" s="484"/>
      <c r="K41" s="782"/>
      <c r="L41" s="1144"/>
      <c r="M41" s="1132"/>
      <c r="N41" s="1132"/>
      <c r="O41" s="1145"/>
      <c r="P41" s="3178" t="str">
        <f>A41</f>
        <v>成交单价</v>
      </c>
      <c r="Q41" s="3178"/>
      <c r="R41" s="3192">
        <f>E41</f>
        <v>0</v>
      </c>
      <c r="S41" s="3192"/>
      <c r="T41" s="3192">
        <f>G41</f>
        <v>0</v>
      </c>
      <c r="U41" s="3192"/>
      <c r="V41" s="3192">
        <f>I41</f>
        <v>0</v>
      </c>
      <c r="W41" s="3192"/>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4"/>
      <c r="M42" s="1132"/>
      <c r="N42" s="1132"/>
      <c r="O42" s="1145"/>
      <c r="P42" s="3178" t="str">
        <f>A42</f>
        <v>比较价值（元/平方米）</v>
      </c>
      <c r="Q42" s="3178"/>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4"/>
      <c r="M43" s="1132"/>
      <c r="N43" s="1132"/>
      <c r="O43" s="1145"/>
      <c r="P43" s="3180" t="str">
        <f>A43</f>
        <v>估价对象XX用房的比较价值（楼面单价，元/平方米）</v>
      </c>
      <c r="Q43" s="3181"/>
      <c r="R43" s="3269" t="e">
        <f>ROUND(AVERAGE(R42:V42),0)</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7" t="s">
        <v>2763</v>
      </c>
      <c r="H50" s="3270"/>
      <c r="I50" s="1814" t="s">
        <v>2800</v>
      </c>
      <c r="J50" s="1814">
        <f>项目基本情况!F35</f>
        <v>0</v>
      </c>
      <c r="K50" s="2710" t="s">
        <v>2765</v>
      </c>
      <c r="L50" s="1107"/>
      <c r="M50" s="1145"/>
      <c r="N50" s="1145"/>
      <c r="O50" s="1145"/>
    </row>
    <row r="51" spans="1:17" s="691" customFormat="1">
      <c r="A51" s="687" t="s">
        <v>2766</v>
      </c>
      <c r="B51" s="688" t="e">
        <f>C43</f>
        <v>#DIV/0!</v>
      </c>
      <c r="C51" s="689">
        <v>1</v>
      </c>
      <c r="D51" s="1164">
        <v>1</v>
      </c>
      <c r="E51" s="689">
        <f>'数据-汇总表'!E8+'数据-汇总表'!E9</f>
        <v>100439.20000000001</v>
      </c>
      <c r="F51" s="690" t="e">
        <f t="shared" ref="F51:F60" si="15">ROUND(B51*E51/10000,0)</f>
        <v>#DIV/0!</v>
      </c>
      <c r="G51" s="3193"/>
      <c r="H51" s="3178"/>
      <c r="I51" s="943">
        <v>1</v>
      </c>
      <c r="J51" s="943">
        <v>1</v>
      </c>
      <c r="K51" s="1146"/>
      <c r="L51" s="942"/>
      <c r="M51" s="942"/>
      <c r="N51" s="942"/>
      <c r="O51" s="942"/>
    </row>
    <row r="52" spans="1:17" s="691" customFormat="1">
      <c r="A52" s="692" t="s">
        <v>2767</v>
      </c>
      <c r="B52" s="261" t="e">
        <f>ROUND($C$43*C52*D52,0)</f>
        <v>#DIV/0!</v>
      </c>
      <c r="C52" s="200">
        <f t="shared" ref="C52:C60" si="16">IF($C$50="北京市系数",I52,J52)</f>
        <v>0</v>
      </c>
      <c r="D52" s="1165">
        <v>0.25</v>
      </c>
      <c r="E52" s="693"/>
      <c r="F52" s="690" t="e">
        <f t="shared" si="15"/>
        <v>#DIV/0!</v>
      </c>
      <c r="G52" s="3271" t="s">
        <v>2768</v>
      </c>
      <c r="H52" s="1105">
        <f>项目基本情况!B37</f>
        <v>0</v>
      </c>
      <c r="I52" s="943">
        <f>SUMIF(修正!A45:A56,H52,修正!B45:B56)</f>
        <v>0</v>
      </c>
      <c r="J52" s="944"/>
      <c r="K52" s="1145"/>
      <c r="L52" s="942"/>
      <c r="M52" s="942"/>
      <c r="N52" s="942"/>
      <c r="O52" s="942"/>
    </row>
    <row r="53" spans="1:17" s="691" customFormat="1">
      <c r="A53" s="692" t="s">
        <v>2769</v>
      </c>
      <c r="B53" s="261" t="e">
        <f t="shared" ref="B53:B60" si="17">ROUND($C$43*C53*D53,0)</f>
        <v>#DIV/0!</v>
      </c>
      <c r="C53" s="200">
        <f t="shared" si="16"/>
        <v>0</v>
      </c>
      <c r="D53" s="1165">
        <v>0.25</v>
      </c>
      <c r="E53" s="693"/>
      <c r="F53" s="690" t="e">
        <f t="shared" si="15"/>
        <v>#DIV/0!</v>
      </c>
      <c r="G53" s="3271"/>
      <c r="H53" s="1105">
        <f>项目基本情况!B37</f>
        <v>0</v>
      </c>
      <c r="I53" s="943">
        <f>SUMIF(修正!A45:A56,H53,修正!C45:C56)</f>
        <v>0</v>
      </c>
      <c r="J53" s="944"/>
      <c r="K53" s="1146"/>
      <c r="L53" s="942"/>
      <c r="M53" s="942"/>
      <c r="N53" s="942"/>
      <c r="O53" s="942"/>
    </row>
    <row r="54" spans="1:17" s="691" customFormat="1">
      <c r="A54" s="692" t="s">
        <v>2770</v>
      </c>
      <c r="B54" s="261" t="e">
        <f t="shared" si="17"/>
        <v>#DIV/0!</v>
      </c>
      <c r="C54" s="200">
        <f t="shared" si="16"/>
        <v>0</v>
      </c>
      <c r="D54" s="1165">
        <v>0.25</v>
      </c>
      <c r="E54" s="693"/>
      <c r="F54" s="690" t="e">
        <f t="shared" si="15"/>
        <v>#DIV/0!</v>
      </c>
      <c r="G54" s="3271"/>
      <c r="H54" s="1105">
        <f>项目基本情况!B37</f>
        <v>0</v>
      </c>
      <c r="I54" s="943">
        <f>SUMIF(修正!A45:A56,H54,修正!D45:D56)</f>
        <v>0</v>
      </c>
      <c r="J54" s="944"/>
      <c r="K54" s="1145"/>
      <c r="L54" s="942"/>
      <c r="M54" s="942"/>
      <c r="N54" s="942"/>
      <c r="O54" s="942"/>
    </row>
    <row r="55" spans="1:17" s="691" customFormat="1">
      <c r="A55" s="692" t="s">
        <v>2771</v>
      </c>
      <c r="B55" s="261" t="e">
        <f t="shared" si="17"/>
        <v>#DIV/0!</v>
      </c>
      <c r="C55" s="200">
        <f t="shared" si="16"/>
        <v>0</v>
      </c>
      <c r="D55" s="1165">
        <v>0.25</v>
      </c>
      <c r="E55" s="693"/>
      <c r="F55" s="690" t="e">
        <f t="shared" si="15"/>
        <v>#DIV/0!</v>
      </c>
      <c r="G55" s="3271"/>
      <c r="H55" s="1105">
        <f>项目基本情况!B37</f>
        <v>0</v>
      </c>
      <c r="I55" s="943">
        <f>SUMIF(修正!A45:A56,H55,修正!E45:E56)</f>
        <v>0</v>
      </c>
      <c r="J55" s="944"/>
      <c r="K55" s="1146"/>
      <c r="L55" s="942"/>
      <c r="M55" s="942"/>
      <c r="N55" s="942"/>
      <c r="O55" s="942"/>
    </row>
    <row r="56" spans="1:17" s="691" customFormat="1">
      <c r="A56" s="692" t="s">
        <v>2772</v>
      </c>
      <c r="B56" s="261" t="e">
        <f t="shared" si="17"/>
        <v>#DIV/0!</v>
      </c>
      <c r="C56" s="200">
        <f t="shared" si="16"/>
        <v>0.3</v>
      </c>
      <c r="D56" s="1165">
        <v>0.25</v>
      </c>
      <c r="E56" s="260">
        <f>'数据-汇总表'!E11</f>
        <v>31910.54</v>
      </c>
      <c r="F56" s="690" t="e">
        <f t="shared" si="15"/>
        <v>#DIV/0!</v>
      </c>
      <c r="G56" s="2711" t="s">
        <v>2773</v>
      </c>
      <c r="H56" s="1105" t="str">
        <f>项目基本情况!C37</f>
        <v>二级</v>
      </c>
      <c r="I56" s="943">
        <f>SUMIF(修正!A45:A56,H56,修正!F45:F56)</f>
        <v>0.3</v>
      </c>
      <c r="J56" s="944"/>
      <c r="K56" s="1145"/>
      <c r="L56" s="942"/>
      <c r="M56" s="942"/>
      <c r="N56" s="942"/>
      <c r="O56" s="942"/>
    </row>
    <row r="57" spans="1:17" s="691" customFormat="1">
      <c r="A57" s="692" t="s">
        <v>2774</v>
      </c>
      <c r="B57" s="261" t="e">
        <f t="shared" si="17"/>
        <v>#DIV/0!</v>
      </c>
      <c r="C57" s="200">
        <f t="shared" si="16"/>
        <v>0.3</v>
      </c>
      <c r="D57" s="1165">
        <v>0.25</v>
      </c>
      <c r="E57" s="260">
        <f>'数据-汇总表'!E12</f>
        <v>0</v>
      </c>
      <c r="F57" s="690" t="e">
        <f t="shared" si="15"/>
        <v>#DIV/0!</v>
      </c>
      <c r="G57" s="1110" t="s">
        <v>2775</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1" customFormat="1">
      <c r="A58" s="692" t="s">
        <v>2776</v>
      </c>
      <c r="B58" s="261" t="e">
        <f t="shared" si="17"/>
        <v>#DIV/0!</v>
      </c>
      <c r="C58" s="200">
        <f t="shared" si="16"/>
        <v>0</v>
      </c>
      <c r="D58" s="1165">
        <v>0.25</v>
      </c>
      <c r="E58" s="260">
        <f>'数据-汇总表'!E13</f>
        <v>32281.690000000002</v>
      </c>
      <c r="F58" s="690"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2778</v>
      </c>
      <c r="B59" s="261" t="e">
        <f t="shared" si="17"/>
        <v>#DIV/0!</v>
      </c>
      <c r="C59" s="200">
        <f t="shared" si="16"/>
        <v>0</v>
      </c>
      <c r="D59" s="1165">
        <v>0.25</v>
      </c>
      <c r="E59" s="260">
        <f>'数据-汇总表'!E14</f>
        <v>0</v>
      </c>
      <c r="F59" s="690" t="e">
        <f t="shared" si="15"/>
        <v>#DIV/0!</v>
      </c>
      <c r="G59" s="2711" t="s">
        <v>2768</v>
      </c>
      <c r="H59" s="1105">
        <f>项目基本情况!B37</f>
        <v>0</v>
      </c>
      <c r="I59" s="943">
        <f>SUMIF(修正!A45:A56,H59,修正!H45:H56)</f>
        <v>0</v>
      </c>
      <c r="J59" s="944"/>
      <c r="K59" s="1146"/>
      <c r="L59" s="942"/>
      <c r="M59" s="942"/>
      <c r="N59" s="942"/>
      <c r="O59" s="942"/>
    </row>
    <row r="60" spans="1:17" s="691" customFormat="1" ht="15" thickBot="1">
      <c r="A60" s="692" t="s">
        <v>2779</v>
      </c>
      <c r="B60" s="261" t="e">
        <f t="shared" si="17"/>
        <v>#DIV/0!</v>
      </c>
      <c r="C60" s="200">
        <f t="shared" si="16"/>
        <v>0.25</v>
      </c>
      <c r="D60" s="1165">
        <v>0.25</v>
      </c>
      <c r="E60" s="260">
        <f>'数据-汇总表'!E15</f>
        <v>0</v>
      </c>
      <c r="F60" s="690" t="e">
        <f t="shared" si="15"/>
        <v>#DIV/0!</v>
      </c>
      <c r="G60" s="2712" t="s">
        <v>2773</v>
      </c>
      <c r="H60" s="1115" t="str">
        <f>项目基本情况!C37</f>
        <v>二级</v>
      </c>
      <c r="I60" s="943">
        <f>SUMIF(修正!A45:A56,H60,修正!H45:H56)</f>
        <v>0.25</v>
      </c>
      <c r="J60" s="944"/>
      <c r="K60" s="1145"/>
      <c r="L60" s="942"/>
      <c r="M60" s="942"/>
      <c r="N60" s="942"/>
      <c r="O60" s="942"/>
    </row>
    <row r="61" spans="1:17" s="691" customFormat="1" ht="15" thickBot="1">
      <c r="A61" s="694" t="s">
        <v>2780</v>
      </c>
      <c r="B61" s="695" t="s">
        <v>28</v>
      </c>
      <c r="C61" s="695" t="s">
        <v>29</v>
      </c>
      <c r="D61" s="695" t="s">
        <v>1029</v>
      </c>
      <c r="E61" s="695">
        <f>IF(B41="楼面地价",SUM(E51:E60),'数据-汇总表'!D3)</f>
        <v>14707</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7" customFormat="1" ht="30.75" customHeight="1">
      <c r="A66" s="2718" t="s">
        <v>2801</v>
      </c>
      <c r="B66" s="331" t="str">
        <f>"北京市平均增长率"&amp;TEXT(基准地价修正!P24,"0.00%")</f>
        <v>北京市平均增长率0.00%</v>
      </c>
      <c r="C66" s="602">
        <v>100</v>
      </c>
      <c r="D66" s="594"/>
      <c r="E66" s="594"/>
      <c r="F66" s="594"/>
      <c r="G66" s="594"/>
      <c r="H66" s="594"/>
      <c r="I66" s="594"/>
      <c r="J66" s="594"/>
      <c r="K66" s="594"/>
      <c r="L66" s="594"/>
      <c r="M66" s="1568"/>
      <c r="N66" s="1568"/>
      <c r="O66" s="1570"/>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2690</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2791</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2793</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2794</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1"/>
      <c r="B4" s="2993" t="s">
        <v>1630</v>
      </c>
      <c r="C4" s="2993"/>
      <c r="D4" s="2993"/>
      <c r="E4" s="1961"/>
    </row>
    <row r="5" spans="1:5" ht="16.5" thickTop="1">
      <c r="A5" s="1959"/>
      <c r="B5" s="2991" t="s">
        <v>1622</v>
      </c>
      <c r="C5" s="1962" t="s">
        <v>1623</v>
      </c>
      <c r="D5" s="1041">
        <f ca="1">结果表!H101</f>
        <v>855718</v>
      </c>
      <c r="E5" s="1959"/>
    </row>
    <row r="6" spans="1:5" ht="15.75">
      <c r="A6" s="1959"/>
      <c r="B6" s="2991"/>
      <c r="C6" s="1962" t="s">
        <v>1624</v>
      </c>
      <c r="D6" s="1041" t="str">
        <f ca="1">NUMBERSTRING(INT(D5*10000),2)&amp;"元整"</f>
        <v>捌拾伍亿伍仟柒佰壹拾捌万元整</v>
      </c>
      <c r="E6" s="1959"/>
    </row>
    <row r="7" spans="1:5" ht="15.75">
      <c r="A7" s="1959"/>
      <c r="B7" s="2996"/>
      <c r="C7" s="1963" t="s">
        <v>1625</v>
      </c>
      <c r="D7" s="1042">
        <f ca="1">结果表!H102</f>
        <v>51493</v>
      </c>
      <c r="E7" s="1959"/>
    </row>
    <row r="8" spans="1:5" ht="15.75">
      <c r="A8" s="1959"/>
      <c r="B8" s="2997" t="str">
        <f>结果表!E103</f>
        <v>2.估价师知悉的法定优先受偿款</v>
      </c>
      <c r="C8" s="1964" t="s">
        <v>1626</v>
      </c>
      <c r="D8" s="1042">
        <f>结果表!H103</f>
        <v>0</v>
      </c>
      <c r="E8" s="1959"/>
    </row>
    <row r="9" spans="1:5" ht="15.75">
      <c r="A9" s="1959"/>
      <c r="B9" s="2999"/>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2990" t="str">
        <f>结果表!E107</f>
        <v>3.房地产抵押价值</v>
      </c>
      <c r="C13" s="1967" t="s">
        <v>1623</v>
      </c>
      <c r="D13" s="1044">
        <f ca="1">结果表!H107</f>
        <v>855718</v>
      </c>
      <c r="E13" s="1959"/>
    </row>
    <row r="14" spans="1:5" ht="15.75">
      <c r="A14" s="1959"/>
      <c r="B14" s="2991"/>
      <c r="C14" s="1962" t="s">
        <v>1624</v>
      </c>
      <c r="D14" s="1041" t="str">
        <f ca="1">NUMBERSTRING(INT(D13*10000),2)&amp;"元整"</f>
        <v>捌拾伍亿伍仟柒佰壹拾捌万元整</v>
      </c>
      <c r="E14" s="1959"/>
    </row>
    <row r="15" spans="1:5" ht="15">
      <c r="A15" s="1959"/>
      <c r="B15" s="2996"/>
      <c r="C15" s="1963" t="s">
        <v>1634</v>
      </c>
      <c r="D15" s="1053">
        <f ca="1">结果表!H108</f>
        <v>51493</v>
      </c>
      <c r="E15" s="1959"/>
    </row>
    <row r="16" spans="1:5" ht="15">
      <c r="A16" s="1959"/>
      <c r="B16" s="2997" t="str">
        <f>结果表!E109</f>
        <v>——</v>
      </c>
      <c r="C16" s="1967" t="s">
        <v>1635</v>
      </c>
      <c r="D16" s="1968" t="str">
        <f>结果表!H109</f>
        <v>——</v>
      </c>
      <c r="E16" s="1959"/>
    </row>
    <row r="17" spans="1:5" ht="15.75">
      <c r="A17" s="1959"/>
      <c r="B17" s="2998"/>
      <c r="C17" s="1962" t="s">
        <v>1636</v>
      </c>
      <c r="D17" s="1041" t="e">
        <f>NUMBERSTRING(INT(D16*10000),2)&amp;"元整"</f>
        <v>#VALUE!</v>
      </c>
      <c r="E17" s="1959"/>
    </row>
    <row r="18" spans="1:5" ht="15">
      <c r="A18" s="1959"/>
      <c r="B18" s="2999"/>
      <c r="C18" s="1963" t="s">
        <v>1625</v>
      </c>
      <c r="D18" s="1053" t="str">
        <f>结果表!H110</f>
        <v>——</v>
      </c>
      <c r="E18" s="1959"/>
    </row>
    <row r="19" spans="1:5" ht="15.75">
      <c r="A19" s="1959"/>
      <c r="B19" s="2990" t="str">
        <f>结果表!E111</f>
        <v>——</v>
      </c>
      <c r="C19" s="1967" t="s">
        <v>1623</v>
      </c>
      <c r="D19" s="1042" t="str">
        <f>结果表!H111</f>
        <v>——</v>
      </c>
      <c r="E19" s="1959"/>
    </row>
    <row r="20" spans="1:5" ht="15.75">
      <c r="A20" s="1959"/>
      <c r="B20" s="2991"/>
      <c r="C20" s="1962" t="s">
        <v>1636</v>
      </c>
      <c r="D20" s="1041" t="e">
        <f>NUMBERSTRING(INT(D19*10000),2)&amp;"元整"</f>
        <v>#VALUE!</v>
      </c>
      <c r="E20" s="1959"/>
    </row>
    <row r="21" spans="1:5" ht="15.75" thickBot="1">
      <c r="A21" s="1959"/>
      <c r="B21" s="2992"/>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2803</v>
      </c>
      <c r="B1" s="240"/>
      <c r="C1" s="244" t="s">
        <v>2804</v>
      </c>
      <c r="D1" s="387">
        <f>SUM(D29:D30,D33:D39)</f>
        <v>0</v>
      </c>
      <c r="E1" s="2719"/>
      <c r="F1" s="2719"/>
      <c r="G1" s="2719"/>
      <c r="H1" s="2719"/>
      <c r="I1" s="2719"/>
      <c r="J1" s="2719"/>
      <c r="K1" s="1371"/>
      <c r="L1" s="2720" t="s">
        <v>2805</v>
      </c>
      <c r="M1" s="1081">
        <f>SUMPRODUCT((区片价!B5:B9=I2)*(区片价!C3:F3=E2)*(区片价!C5:F9))</f>
        <v>0</v>
      </c>
      <c r="N1" s="1084">
        <f>SUMPRODUCT((因素修正幅度!B5:B9=I2)*(因素修正幅度!C3:F3=E2)*(因素修正幅度!C5:F9))</f>
        <v>0</v>
      </c>
      <c r="O1" s="2721"/>
      <c r="P1" s="2721"/>
      <c r="Q1" s="1371"/>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4" t="s">
        <v>2811</v>
      </c>
      <c r="B2" s="247"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1"/>
      <c r="L2" s="2728" t="s">
        <v>2816</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2817</v>
      </c>
      <c r="B3" s="247" t="e">
        <f>ROUND(B2*10000/D1,0)</f>
        <v>#DIV/0!</v>
      </c>
      <c r="C3" s="2723" t="s">
        <v>2818</v>
      </c>
      <c r="D3" s="2724" t="s">
        <v>2819</v>
      </c>
      <c r="E3" s="2729"/>
      <c r="F3" s="2730" t="s">
        <v>2820</v>
      </c>
      <c r="G3" s="914">
        <f>IF(F3="宗地容积率",'数据-汇总表'!I4,IF(F3="估价对象容积率",'数据-汇总表'!I6,'数据-汇总表'!I7))</f>
        <v>6.83</v>
      </c>
      <c r="H3" s="198" t="s">
        <v>2821</v>
      </c>
      <c r="I3" s="945"/>
      <c r="J3" s="2727" t="s">
        <v>2822</v>
      </c>
      <c r="K3" s="1371"/>
      <c r="L3" s="2728" t="s">
        <v>2823</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9"/>
      <c r="B4" s="3280"/>
      <c r="C4" s="3280"/>
      <c r="D4" s="3281"/>
      <c r="E4" s="3281"/>
      <c r="F4" s="3281"/>
      <c r="G4" s="3281"/>
      <c r="H4" s="3281"/>
      <c r="I4" s="3281"/>
      <c r="J4" s="3282"/>
      <c r="K4" s="1371"/>
      <c r="L4" s="2728" t="s">
        <v>2824</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2826</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2827</v>
      </c>
      <c r="B6" s="2742" t="s">
        <v>2828</v>
      </c>
      <c r="C6" s="916">
        <f>SUMIF(L1:L12,G2,M1:M12)</f>
        <v>0</v>
      </c>
      <c r="D6" s="2743" t="s">
        <v>2829</v>
      </c>
      <c r="E6" s="2744"/>
      <c r="F6" s="2744"/>
      <c r="G6" s="2745"/>
      <c r="H6" s="2745"/>
      <c r="I6" s="2745"/>
      <c r="J6" s="2746"/>
      <c r="K6" s="1842"/>
      <c r="L6" s="2728" t="s">
        <v>2830</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83" t="str">
        <f>IF(E2="商业",IF(C8="不临58条商业街","",2),"")</f>
        <v/>
      </c>
      <c r="B7" s="2747" t="s">
        <v>2831</v>
      </c>
      <c r="C7" s="917" t="e">
        <f>IF(C8="不临58条商业街",1,ROUND(1+(1.6*E8+1.2*E9+0.8*E10+0.4*E11)*C9,4))</f>
        <v>#DIV/0!</v>
      </c>
      <c r="D7" s="2748" t="s">
        <v>2832</v>
      </c>
      <c r="E7" s="946"/>
      <c r="F7" s="2749"/>
      <c r="G7" s="2750"/>
      <c r="H7" s="2750"/>
      <c r="I7" s="2750"/>
      <c r="J7" s="2751"/>
      <c r="K7" s="1842"/>
      <c r="L7" s="2728" t="s">
        <v>2833</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6.83</v>
      </c>
      <c r="AA7" s="1606"/>
      <c r="AB7" s="1606"/>
      <c r="AC7" s="1607"/>
      <c r="AD7" s="1608"/>
      <c r="AE7" s="1608"/>
      <c r="AF7" s="1608"/>
      <c r="AG7" s="1608"/>
      <c r="AH7" s="1608"/>
      <c r="AI7" s="1608"/>
      <c r="AJ7" s="1609"/>
    </row>
    <row r="8" spans="1:36" ht="15">
      <c r="A8" s="3284"/>
      <c r="B8" s="198" t="s">
        <v>2836</v>
      </c>
      <c r="C8" s="2752"/>
      <c r="D8" s="918" t="s">
        <v>139</v>
      </c>
      <c r="E8" s="919" t="e">
        <f>ROUND(C11/E7,4)</f>
        <v>#DIV/0!</v>
      </c>
      <c r="F8" s="2753" t="s">
        <v>2837</v>
      </c>
      <c r="G8" s="2754"/>
      <c r="H8" s="2754"/>
      <c r="I8" s="2754"/>
      <c r="J8" s="2755"/>
      <c r="K8" s="1371"/>
      <c r="L8" s="2728" t="s">
        <v>2838</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76" t="s">
        <v>2839</v>
      </c>
      <c r="X8" s="327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84"/>
      <c r="B9" s="198" t="s">
        <v>2852</v>
      </c>
      <c r="C9" s="920">
        <f>SUMIF(修正!C59:C119,C8,修正!E59:E119)</f>
        <v>0</v>
      </c>
      <c r="D9" s="200" t="s">
        <v>140</v>
      </c>
      <c r="E9" s="200" t="e">
        <f>ROUND(C11/E7,4)</f>
        <v>#DIV/0!</v>
      </c>
      <c r="F9" s="2753" t="s">
        <v>2853</v>
      </c>
      <c r="G9" s="2754"/>
      <c r="H9" s="2754"/>
      <c r="I9" s="2754"/>
      <c r="J9" s="2755"/>
      <c r="K9" s="1371"/>
      <c r="L9" s="2728" t="s">
        <v>2854</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7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4"/>
      <c r="B10" s="198" t="s">
        <v>2857</v>
      </c>
      <c r="C10" s="200">
        <f>SUMIF(修正!C59:C119,C8,修正!F59:F119)</f>
        <v>0</v>
      </c>
      <c r="D10" s="200" t="s">
        <v>141</v>
      </c>
      <c r="E10" s="200" t="e">
        <f>ROUND(C11/E7,4)</f>
        <v>#DIV/0!</v>
      </c>
      <c r="F10" s="2753" t="s">
        <v>2858</v>
      </c>
      <c r="G10" s="2754"/>
      <c r="H10" s="2754"/>
      <c r="I10" s="2754"/>
      <c r="J10" s="2755"/>
      <c r="K10" s="1371"/>
      <c r="L10" s="2728" t="s">
        <v>2859</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7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4"/>
      <c r="B11" s="2756" t="s">
        <v>2860</v>
      </c>
      <c r="C11" s="921">
        <f>C10/4</f>
        <v>0</v>
      </c>
      <c r="D11" s="921" t="s">
        <v>142</v>
      </c>
      <c r="E11" s="921" t="e">
        <f>ROUND(C11/E7,4)</f>
        <v>#DIV/0!</v>
      </c>
      <c r="F11" s="2757" t="s">
        <v>2861</v>
      </c>
      <c r="G11" s="2758"/>
      <c r="H11" s="2758"/>
      <c r="I11" s="2758"/>
      <c r="J11" s="2759"/>
      <c r="K11" s="1371"/>
      <c r="L11" s="2728" t="s">
        <v>2862</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78" t="s">
        <v>2863</v>
      </c>
      <c r="X11" s="1614" t="s">
        <v>2864</v>
      </c>
      <c r="Y11" s="1615">
        <f>$G$3</f>
        <v>6.83</v>
      </c>
      <c r="Z11" s="1615">
        <f t="shared" ref="Z11:AJ11" si="3">$G$3</f>
        <v>6.83</v>
      </c>
      <c r="AA11" s="1615">
        <f t="shared" si="3"/>
        <v>6.83</v>
      </c>
      <c r="AB11" s="1615">
        <f t="shared" si="3"/>
        <v>6.83</v>
      </c>
      <c r="AC11" s="1615">
        <f t="shared" si="3"/>
        <v>6.83</v>
      </c>
      <c r="AD11" s="1615">
        <f t="shared" si="3"/>
        <v>6.83</v>
      </c>
      <c r="AE11" s="1615">
        <f t="shared" si="3"/>
        <v>6.83</v>
      </c>
      <c r="AF11" s="1615">
        <f t="shared" si="3"/>
        <v>6.83</v>
      </c>
      <c r="AG11" s="1615">
        <f t="shared" si="3"/>
        <v>6.83</v>
      </c>
      <c r="AH11" s="1615">
        <f t="shared" si="3"/>
        <v>6.83</v>
      </c>
      <c r="AI11" s="1615">
        <f t="shared" si="3"/>
        <v>6.83</v>
      </c>
      <c r="AJ11" s="1615">
        <f t="shared" si="3"/>
        <v>6.83</v>
      </c>
    </row>
    <row r="12" spans="1:36" ht="25.5" thickBot="1">
      <c r="A12" s="3283" t="s">
        <v>2865</v>
      </c>
      <c r="B12" s="2760" t="s">
        <v>2866</v>
      </c>
      <c r="C12" s="917">
        <f>ROUND(C15*D15*E15*F15*G15*H15*I15*J15,4)</f>
        <v>1</v>
      </c>
      <c r="D12" s="2761" t="s">
        <v>2867</v>
      </c>
      <c r="E12" s="2762"/>
      <c r="F12" s="2762"/>
      <c r="G12" s="2763"/>
      <c r="H12" s="2763"/>
      <c r="I12" s="2763"/>
      <c r="J12" s="2764"/>
      <c r="K12" s="1371"/>
      <c r="L12" s="2765" t="s">
        <v>2868</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7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5"/>
      <c r="B13" s="2766" t="s">
        <v>2870</v>
      </c>
      <c r="C13" s="2767" t="s">
        <v>2871</v>
      </c>
      <c r="D13" s="1808" t="s">
        <v>2872</v>
      </c>
      <c r="E13" s="1808" t="s">
        <v>2873</v>
      </c>
      <c r="F13" s="30" t="s">
        <v>2874</v>
      </c>
      <c r="G13" s="2768" t="s">
        <v>2875</v>
      </c>
      <c r="H13" s="2768" t="s">
        <v>2875</v>
      </c>
      <c r="I13" s="2768" t="s">
        <v>2875</v>
      </c>
      <c r="J13" s="2769" t="s">
        <v>2875</v>
      </c>
      <c r="K13" s="1371"/>
      <c r="L13" s="1371"/>
      <c r="M13" s="1371"/>
      <c r="N13" s="1371"/>
      <c r="O13" s="1371"/>
      <c r="P13" s="1371"/>
      <c r="Q13" s="1371"/>
      <c r="R13" s="1602">
        <v>12</v>
      </c>
      <c r="S13" s="1603"/>
      <c r="T13" s="1602" t="e">
        <f t="shared" si="0"/>
        <v>#DIV/0!</v>
      </c>
      <c r="U13" s="1603"/>
      <c r="V13" s="1602" t="e">
        <f t="shared" si="1"/>
        <v>#DIV/0!</v>
      </c>
      <c r="W13" s="3278"/>
      <c r="X13" s="1616"/>
      <c r="Y13" s="1613">
        <f>(-0.163*(Y12^2)-0.59*Y12+7617)*(10^(-4))/Y11</f>
        <v>0.11152269399707175</v>
      </c>
      <c r="Z13" s="1613">
        <f t="shared" ref="Z13:AJ13" si="5">(-0.163*(Z12^2)-0.59*Z12+7617)*(10^(-4))/Z11</f>
        <v>0.11152269399707175</v>
      </c>
      <c r="AA13" s="1613">
        <f t="shared" si="5"/>
        <v>0.11152269399707175</v>
      </c>
      <c r="AB13" s="1613">
        <f t="shared" si="5"/>
        <v>0.11152269399707175</v>
      </c>
      <c r="AC13" s="1613">
        <f t="shared" si="5"/>
        <v>0.11152269399707175</v>
      </c>
      <c r="AD13" s="1613">
        <f t="shared" si="5"/>
        <v>0.11152269399707175</v>
      </c>
      <c r="AE13" s="1613">
        <f t="shared" si="5"/>
        <v>0.11152269399707175</v>
      </c>
      <c r="AF13" s="1613">
        <f t="shared" si="5"/>
        <v>0.11152269399707175</v>
      </c>
      <c r="AG13" s="1613">
        <f t="shared" si="5"/>
        <v>0.11152269399707175</v>
      </c>
      <c r="AH13" s="1613">
        <f t="shared" si="5"/>
        <v>0.11152269399707175</v>
      </c>
      <c r="AI13" s="1613">
        <f t="shared" si="5"/>
        <v>0.11152269399707175</v>
      </c>
      <c r="AJ13" s="1613">
        <f t="shared" si="5"/>
        <v>0.11152269399707175</v>
      </c>
    </row>
    <row r="14" spans="1:36" ht="15">
      <c r="A14" s="3285"/>
      <c r="B14" s="2770"/>
      <c r="C14" s="2771"/>
      <c r="D14" s="2772"/>
      <c r="E14" s="2772"/>
      <c r="F14" s="2773"/>
      <c r="G14" s="2774" t="s">
        <v>2876</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6"/>
      <c r="B15" s="2778" t="s">
        <v>2877</v>
      </c>
      <c r="C15" s="228">
        <f>IF(C14="有",1.1,1)</f>
        <v>1</v>
      </c>
      <c r="D15" s="228">
        <f>IF(D14="有",1.1,1)</f>
        <v>1</v>
      </c>
      <c r="E15" s="228">
        <f>IF(E14="有",1.1,1)</f>
        <v>1</v>
      </c>
      <c r="F15" s="228">
        <f>IF(F14="500米范围内",1.2,IF(F14="500-1000米",1.1,1))</f>
        <v>1</v>
      </c>
      <c r="G15" s="947">
        <v>1</v>
      </c>
      <c r="H15" s="947">
        <v>1</v>
      </c>
      <c r="I15" s="947">
        <v>1</v>
      </c>
      <c r="J15" s="948">
        <v>1</v>
      </c>
      <c r="K15" s="1371"/>
      <c r="L15" s="2779" t="s">
        <v>2813</v>
      </c>
      <c r="M15" s="918" t="s">
        <v>2878</v>
      </c>
      <c r="N15" s="918" t="s">
        <v>2879</v>
      </c>
      <c r="O15" s="918" t="s">
        <v>2880</v>
      </c>
      <c r="P15" s="2780" t="s">
        <v>2881</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3" t="s">
        <v>2882</v>
      </c>
      <c r="B16" s="2747" t="s">
        <v>2883</v>
      </c>
      <c r="C16" s="1801" t="e">
        <f>ROUND(SUM(G17:J17)/C17,0)</f>
        <v>#DIV/0!</v>
      </c>
      <c r="D16" s="2781" t="s">
        <v>2884</v>
      </c>
      <c r="E16" s="2782"/>
      <c r="F16" s="2783"/>
      <c r="G16" s="2784"/>
      <c r="H16" s="2784"/>
      <c r="I16" s="2784"/>
      <c r="J16" s="2785"/>
      <c r="K16" s="1371"/>
      <c r="L16" s="2786" t="s">
        <v>2885</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4"/>
      <c r="B17" s="2787" t="s">
        <v>2886</v>
      </c>
      <c r="C17" s="922">
        <f>SUMPRODUCT((修正!A2:A5=E2)*(修正!B1:M1=G2)*(修正!B2:M5))</f>
        <v>0</v>
      </c>
      <c r="D17" s="2788"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2890</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2891</v>
      </c>
      <c r="C19" s="925" t="e">
        <f>ROUND(IF(H19="按公示增长率计算",SUMPRODUCT((地价!A3:A23=YEAR(G19)&amp;"-"&amp;ROUNDUP(MONTH(G19)/3,0))*(地价!X2:AB2=E2)*(地价!X3:AB23)),IF(H19="地价指数",M20/M19,(1+I19)^O19)),4)</f>
        <v>#DIV/0!</v>
      </c>
      <c r="D19" s="2799" t="s">
        <v>2892</v>
      </c>
      <c r="E19" s="926">
        <v>41640</v>
      </c>
      <c r="F19" s="2799" t="s">
        <v>2893</v>
      </c>
      <c r="G19" s="927">
        <f>'数据-取费表'!B2</f>
        <v>43468</v>
      </c>
      <c r="H19" s="2800" t="s">
        <v>2894</v>
      </c>
      <c r="I19" s="928" t="str">
        <f>IF(H19="季度增幅（自定义）",SUMIF(N21:N24,E2,O21:O24),"")</f>
        <v/>
      </c>
      <c r="J19" s="2797"/>
      <c r="K19" s="1378"/>
      <c r="L19" s="2801" t="s">
        <v>2895</v>
      </c>
      <c r="M19" s="1734">
        <f>ROUND(SUMIF(地价!B2:F2,E2,地价!B23:F23),0)</f>
        <v>0</v>
      </c>
      <c r="N19" s="2802" t="s">
        <v>2896</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2897</v>
      </c>
      <c r="C20" s="930" t="e">
        <f>ROUND(POWER(1+G20,J20-I20)*(POWER(1+G20,I20)-1)/(POWER(1+G20,J20)-1),4)</f>
        <v>#DIV/0!</v>
      </c>
      <c r="D20" s="2808" t="s">
        <v>2898</v>
      </c>
      <c r="E20" s="1768">
        <f ca="1">存贷款利率!D4/100</f>
        <v>4.3499999999999997E-2</v>
      </c>
      <c r="F20" s="2808" t="s">
        <v>2889</v>
      </c>
      <c r="G20" s="935">
        <f>SUMIF(M15:P15,E2,M17:P17)</f>
        <v>0</v>
      </c>
      <c r="H20" s="2808" t="s">
        <v>2899</v>
      </c>
      <c r="I20" s="936" t="e">
        <f>SUMIF('数据-取费表'!C6:C15,E2,'数据-取费表'!F6:F15)/COUNTIF('数据-取费表'!C6:C15,E2)</f>
        <v>#DIV/0!</v>
      </c>
      <c r="J20" s="937">
        <f>IF(E2="住宅",70,IF(E2="商业",40,50))</f>
        <v>50</v>
      </c>
      <c r="K20" s="1378"/>
      <c r="L20" s="2809" t="s">
        <v>2900</v>
      </c>
      <c r="M20" s="1735">
        <f>ROUND(SUMPRODUCT((地价!A4:A23=YEAR(G19)&amp;"-"&amp;ROUNDUP(MONTH(G19)/3,0))*(地价!B2:F2=E2)*(地价!B4:F23)),0)</f>
        <v>0</v>
      </c>
      <c r="N20" s="2810" t="s">
        <v>2901</v>
      </c>
      <c r="O20" s="2811" t="s">
        <v>2902</v>
      </c>
      <c r="P20" s="2812" t="s">
        <v>2903</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2904</v>
      </c>
      <c r="C21" s="938">
        <f>IF(B21="容积率修正",IF(G3&lt;=10,D22,J22),C23)</f>
        <v>0</v>
      </c>
      <c r="D21" s="2815"/>
      <c r="E21" s="2815"/>
      <c r="F21" s="2815"/>
      <c r="G21" s="2815"/>
      <c r="H21" s="2815"/>
      <c r="I21" s="2815"/>
      <c r="J21" s="2816"/>
      <c r="K21" s="1378"/>
      <c r="N21" s="2817" t="s">
        <v>2905</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2906</v>
      </c>
      <c r="B22" s="2818" t="s">
        <v>2907</v>
      </c>
      <c r="C22" s="1810" t="s">
        <v>2908</v>
      </c>
      <c r="D22" s="1810">
        <f>IF(E22=G22,F22,IF(G3&lt;=10,ROUND(F22+(H22-F22)*(G3-E22)/(G22-E22),4),"——"))</f>
        <v>0</v>
      </c>
      <c r="E22" s="914">
        <f>ROUNDDOWN(G3,1)</f>
        <v>6.8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6.8999999999999995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2909</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2910</v>
      </c>
      <c r="B23" s="2819" t="s">
        <v>2911</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2912</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2913</v>
      </c>
      <c r="C24" s="925">
        <f>SUMIF(A45:A88,E2,B45:B88)</f>
        <v>0</v>
      </c>
      <c r="D24" s="2795"/>
      <c r="E24" s="2825"/>
      <c r="F24" s="2825"/>
      <c r="G24" s="2825"/>
      <c r="H24" s="2825"/>
      <c r="I24" s="2825"/>
      <c r="J24" s="2826"/>
      <c r="K24" s="1378"/>
      <c r="N24" s="2827" t="s">
        <v>2914</v>
      </c>
      <c r="O24" s="1564"/>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2915</v>
      </c>
      <c r="C25" s="931"/>
      <c r="D25" s="2750"/>
      <c r="E25" s="2750"/>
      <c r="F25" s="2829"/>
      <c r="G25" s="2750"/>
      <c r="H25" s="2750"/>
      <c r="I25" s="2750"/>
      <c r="J25" s="2751"/>
      <c r="K25" s="1371"/>
      <c r="N25" s="2830" t="s">
        <v>2916</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2917</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2918</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2919</v>
      </c>
      <c r="C28" s="2842" t="s">
        <v>2920</v>
      </c>
      <c r="D28" s="2842" t="s">
        <v>2921</v>
      </c>
      <c r="E28" s="2843" t="s">
        <v>2922</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2923</v>
      </c>
      <c r="C29" s="205" t="e">
        <f>ROUND(C5*C18*C19*C20*C21*C24,0)</f>
        <v>#DIV/0!</v>
      </c>
      <c r="D29" s="2847"/>
      <c r="E29" s="943" t="e">
        <f>ROUND(C29*D29/10000,0)</f>
        <v>#DIV/0!</v>
      </c>
      <c r="F29" s="2848" t="s">
        <v>2924</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2925</v>
      </c>
      <c r="C30" s="228" t="e">
        <f>ROUND(IF(E2="工业",C29*M39,C29*M38),0)</f>
        <v>#DIV/0!</v>
      </c>
      <c r="D30" s="2853"/>
      <c r="E30" s="943" t="e">
        <f>ROUND(C30*D30/10000,0)</f>
        <v>#DIV/0!</v>
      </c>
      <c r="F30" s="2854" t="s">
        <v>2926</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2920</v>
      </c>
      <c r="D32" s="497" t="s">
        <v>2921</v>
      </c>
      <c r="E32" s="497" t="s">
        <v>2922</v>
      </c>
      <c r="F32" s="387" t="s">
        <v>2930</v>
      </c>
      <c r="G32" s="2862" t="s">
        <v>2920</v>
      </c>
      <c r="H32" s="2862" t="s">
        <v>2921</v>
      </c>
      <c r="I32" s="2862"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93" t="s">
        <v>2931</v>
      </c>
      <c r="B33" s="2863" t="s">
        <v>2932</v>
      </c>
      <c r="C33" s="205"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4"/>
      <c r="B34" s="2767" t="s">
        <v>2933</v>
      </c>
      <c r="C34" s="205"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4"/>
      <c r="B35" s="2767" t="s">
        <v>2934</v>
      </c>
      <c r="C35" s="205"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95"/>
      <c r="B36" s="2767" t="s">
        <v>2935</v>
      </c>
      <c r="C36" s="205"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2936</v>
      </c>
      <c r="C37" s="200" t="e">
        <f>ROUND(C5*C19*C20*C24*F37,0)</f>
        <v>#DIV/0!</v>
      </c>
      <c r="D37" s="2847"/>
      <c r="E37" s="200" t="e">
        <f t="shared" si="7"/>
        <v>#DIV/0!</v>
      </c>
      <c r="F37" s="205">
        <f>SUMIF(修正!A45:A56,G2,修正!F45:F56)</f>
        <v>0</v>
      </c>
      <c r="G37" s="200" t="e">
        <f>ROUND(IF(E2="工业",C37*$M$39,C37*$M$38),0)</f>
        <v>#DIV/0!</v>
      </c>
      <c r="H37" s="200">
        <f t="shared" si="8"/>
        <v>0</v>
      </c>
      <c r="I37" s="200" t="e">
        <f t="shared" si="9"/>
        <v>#DIV/0!</v>
      </c>
      <c r="J37" s="2864"/>
      <c r="K37" s="1371"/>
      <c r="L37" s="2866" t="s">
        <v>2937</v>
      </c>
      <c r="M37" s="2867"/>
      <c r="N37" s="1371"/>
      <c r="O37" s="1371"/>
      <c r="P37" s="1371"/>
      <c r="Q37" s="1371"/>
      <c r="R37" s="1371"/>
      <c r="S37" s="1371"/>
      <c r="T37" s="1371"/>
      <c r="U37" s="1371"/>
      <c r="V37" s="1371"/>
      <c r="W37" s="1371"/>
      <c r="X37" s="1371"/>
      <c r="Y37" s="1371"/>
      <c r="Z37" s="1372"/>
    </row>
    <row r="38" spans="1:37">
      <c r="A38" s="2865"/>
      <c r="B38" s="2767" t="s">
        <v>2938</v>
      </c>
      <c r="C38" s="200" t="e">
        <f>ROUND(C5*C19*C20*C24*F38,0)</f>
        <v>#DIV/0!</v>
      </c>
      <c r="D38" s="2847"/>
      <c r="E38" s="200" t="e">
        <f t="shared" si="7"/>
        <v>#DIV/0!</v>
      </c>
      <c r="F38" s="205">
        <f>SUMIF(修正!A45:A56,G2,修正!G45:G56)</f>
        <v>0</v>
      </c>
      <c r="G38" s="200" t="e">
        <f>ROUND(IF(E2="工业",C38*$M$39,C38*$M$38),0)</f>
        <v>#DIV/0!</v>
      </c>
      <c r="H38" s="200">
        <f t="shared" si="8"/>
        <v>0</v>
      </c>
      <c r="I38" s="200" t="e">
        <f t="shared" si="9"/>
        <v>#DIV/0!</v>
      </c>
      <c r="J38" s="2864"/>
      <c r="K38" s="1371"/>
      <c r="L38" s="1887" t="s">
        <v>2939</v>
      </c>
      <c r="M38" s="2868">
        <v>0.25</v>
      </c>
      <c r="N38" s="1371"/>
      <c r="O38" s="1371"/>
      <c r="P38" s="1371"/>
      <c r="Q38" s="1371"/>
      <c r="R38" s="1371"/>
      <c r="S38" s="1371"/>
      <c r="T38" s="1371"/>
      <c r="U38" s="1371"/>
      <c r="V38" s="1371"/>
      <c r="W38" s="1371"/>
      <c r="X38" s="1371"/>
      <c r="Y38" s="1371"/>
      <c r="Z38" s="1372"/>
    </row>
    <row r="39" spans="1:37" ht="13.5" thickBot="1">
      <c r="A39" s="2851"/>
      <c r="B39" s="2869" t="s">
        <v>2940</v>
      </c>
      <c r="C39" s="228" t="e">
        <f>ROUND(C5*C19*C20*C24*F39,0)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2881</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2941</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2942</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2943</v>
      </c>
      <c r="B47" s="1809" t="s">
        <v>2944</v>
      </c>
      <c r="C47" s="1809" t="s">
        <v>2945</v>
      </c>
      <c r="D47" s="1809" t="s">
        <v>2946</v>
      </c>
      <c r="E47" s="817" t="s">
        <v>2947</v>
      </c>
      <c r="F47" s="2881" t="s">
        <v>2948</v>
      </c>
      <c r="G47" s="1809" t="s">
        <v>754</v>
      </c>
      <c r="H47" s="2882" t="s">
        <v>2949</v>
      </c>
      <c r="I47" s="1809" t="s">
        <v>2950</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2951</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2952</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2953</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2954</v>
      </c>
      <c r="B51" s="2885" t="s">
        <v>2955</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2956</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2957</v>
      </c>
      <c r="B53" s="2886" t="s">
        <v>2958</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2959</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2960</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2961</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2962</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2943</v>
      </c>
      <c r="B58" s="1809"/>
      <c r="C58" s="1809" t="s">
        <v>2945</v>
      </c>
      <c r="D58" s="1809" t="s">
        <v>2946</v>
      </c>
      <c r="E58" s="817" t="s">
        <v>2947</v>
      </c>
      <c r="F58" s="2881" t="s">
        <v>2963</v>
      </c>
      <c r="G58" s="1809" t="s">
        <v>754</v>
      </c>
      <c r="H58" s="2882" t="s">
        <v>2949</v>
      </c>
      <c r="I58" s="1809" t="s">
        <v>2950</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2964</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2952</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2953</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2954</v>
      </c>
      <c r="B62" s="2885" t="s">
        <v>2955</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2956</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2957</v>
      </c>
      <c r="B64" s="2886" t="s">
        <v>2958</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2959</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2960</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2961</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2965</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2943</v>
      </c>
      <c r="B69" s="1809"/>
      <c r="C69" s="1809" t="s">
        <v>2945</v>
      </c>
      <c r="D69" s="1809" t="s">
        <v>2946</v>
      </c>
      <c r="E69" s="817" t="s">
        <v>2947</v>
      </c>
      <c r="F69" s="2881" t="s">
        <v>2963</v>
      </c>
      <c r="G69" s="1809" t="s">
        <v>754</v>
      </c>
      <c r="H69" s="2882" t="s">
        <v>2949</v>
      </c>
      <c r="I69" s="1809" t="s">
        <v>2950</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2966</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2952</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2953</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2967</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2959</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2960</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2957</v>
      </c>
      <c r="B76" s="2886" t="s">
        <v>2958</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2961</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2968</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2969</v>
      </c>
      <c r="B79" s="2877">
        <f>1+E81</f>
        <v>1</v>
      </c>
      <c r="C79" s="812"/>
      <c r="D79" s="812"/>
      <c r="E79" s="813"/>
      <c r="F79" s="2879"/>
      <c r="G79" s="6"/>
      <c r="H79" s="6"/>
      <c r="I79" s="6"/>
      <c r="J79" s="7"/>
      <c r="K79" s="7"/>
      <c r="L79" s="7"/>
      <c r="M79" s="7"/>
      <c r="N79" s="7"/>
      <c r="Z79" s="2722"/>
      <c r="AA79" s="2798"/>
      <c r="AG79" s="1373"/>
      <c r="AK79" s="2798"/>
    </row>
    <row r="80" spans="1:37" ht="24.75">
      <c r="A80" s="2880" t="s">
        <v>2943</v>
      </c>
      <c r="B80" s="1809"/>
      <c r="C80" s="1809" t="s">
        <v>2945</v>
      </c>
      <c r="D80" s="1809" t="s">
        <v>2946</v>
      </c>
      <c r="E80" s="817" t="s">
        <v>2947</v>
      </c>
      <c r="F80" s="2881" t="s">
        <v>2963</v>
      </c>
      <c r="G80" s="1809" t="s">
        <v>754</v>
      </c>
      <c r="H80" s="2882" t="s">
        <v>2949</v>
      </c>
      <c r="I80" s="1809" t="s">
        <v>2950</v>
      </c>
      <c r="J80" s="602" t="s">
        <v>2596</v>
      </c>
      <c r="K80" s="602" t="s">
        <v>2597</v>
      </c>
      <c r="L80" s="602" t="s">
        <v>2598</v>
      </c>
      <c r="M80" s="602" t="s">
        <v>2599</v>
      </c>
      <c r="N80" s="602" t="s">
        <v>2600</v>
      </c>
      <c r="Z80" s="2722"/>
      <c r="AA80" s="2798"/>
      <c r="AG80" s="1373"/>
      <c r="AK80" s="2798"/>
    </row>
    <row r="81" spans="1:37" ht="38.25">
      <c r="A81" s="2880" t="s">
        <v>2970</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2952</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2953</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2967</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2959</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2960</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2957</v>
      </c>
      <c r="B87" s="2886" t="s">
        <v>2971</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2972</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87" t="s">
        <v>2973</v>
      </c>
      <c r="B90" s="3287"/>
      <c r="C90" s="3287"/>
      <c r="D90" s="3287"/>
      <c r="E90" s="3287"/>
      <c r="F90" s="3287"/>
      <c r="G90" s="3287"/>
      <c r="H90" s="3287"/>
      <c r="I90" s="3287"/>
      <c r="J90" s="3287"/>
      <c r="K90" s="2894"/>
      <c r="L90" s="2894"/>
      <c r="M90" s="2894"/>
      <c r="N90" s="2894"/>
    </row>
    <row r="91" spans="1:37">
      <c r="A91" s="3289" t="s">
        <v>2974</v>
      </c>
      <c r="B91" s="3289" t="s">
        <v>2975</v>
      </c>
      <c r="C91" s="2848" t="s">
        <v>2976</v>
      </c>
      <c r="D91" s="2849"/>
      <c r="E91" s="2849"/>
      <c r="F91" s="2849"/>
      <c r="G91" s="2849"/>
      <c r="H91" s="2849"/>
      <c r="I91" s="2849"/>
      <c r="J91" s="2895"/>
      <c r="K91" s="2896"/>
      <c r="L91" s="2896"/>
      <c r="M91" s="2896"/>
      <c r="N91" s="2896"/>
    </row>
    <row r="92" spans="1:37">
      <c r="A92" s="3289"/>
      <c r="B92" s="3289"/>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90"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1"/>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0" t="s">
        <v>2978</v>
      </c>
      <c r="B101" s="2901" t="s">
        <v>2979</v>
      </c>
      <c r="C101" s="2902">
        <f>$G$3</f>
        <v>6.83</v>
      </c>
      <c r="D101" s="2902">
        <f t="shared" ref="D101:N101" si="31">$G$3</f>
        <v>6.83</v>
      </c>
      <c r="E101" s="2902">
        <f t="shared" si="31"/>
        <v>6.83</v>
      </c>
      <c r="F101" s="2902">
        <f t="shared" si="31"/>
        <v>6.83</v>
      </c>
      <c r="G101" s="2902">
        <f t="shared" si="31"/>
        <v>6.83</v>
      </c>
      <c r="H101" s="2902">
        <f t="shared" si="31"/>
        <v>6.83</v>
      </c>
      <c r="I101" s="2902">
        <f t="shared" si="31"/>
        <v>6.83</v>
      </c>
      <c r="J101" s="2902">
        <f t="shared" si="31"/>
        <v>6.83</v>
      </c>
      <c r="K101" s="2902">
        <f t="shared" si="31"/>
        <v>6.83</v>
      </c>
      <c r="L101" s="2902">
        <f t="shared" si="31"/>
        <v>6.83</v>
      </c>
      <c r="M101" s="2902">
        <f t="shared" si="31"/>
        <v>6.83</v>
      </c>
      <c r="N101" s="2902">
        <f t="shared" si="31"/>
        <v>6.83</v>
      </c>
    </row>
    <row r="102" spans="1:14">
      <c r="A102" s="3291"/>
      <c r="B102" s="2897">
        <v>1</v>
      </c>
      <c r="C102" s="2898">
        <f>1.9362/C101</f>
        <v>0.28348462664714491</v>
      </c>
      <c r="D102" s="2898">
        <f>1.9362/D101</f>
        <v>0.28348462664714491</v>
      </c>
      <c r="E102" s="2898">
        <f>1.8629/E101</f>
        <v>0.27275256222547584</v>
      </c>
      <c r="F102" s="2898">
        <f>1.8629/F101</f>
        <v>0.27275256222547584</v>
      </c>
      <c r="G102" s="2898">
        <f>1.8629/G101</f>
        <v>0.27275256222547584</v>
      </c>
      <c r="H102" s="2898">
        <f>1.8629/H101</f>
        <v>0.27275256222547584</v>
      </c>
      <c r="I102" s="2898">
        <f>1.8629/I101</f>
        <v>0.27275256222547584</v>
      </c>
      <c r="J102" s="2898">
        <f>1.942/J101</f>
        <v>0.2843338213762811</v>
      </c>
      <c r="K102" s="2898">
        <f>1.942/K101</f>
        <v>0.2843338213762811</v>
      </c>
      <c r="L102" s="2898">
        <f>1.942/L101</f>
        <v>0.2843338213762811</v>
      </c>
      <c r="M102" s="2898">
        <f>1.942/M101</f>
        <v>0.2843338213762811</v>
      </c>
      <c r="N102" s="2898">
        <f>1.942/N101</f>
        <v>0.2843338213762811</v>
      </c>
    </row>
    <row r="103" spans="1:14">
      <c r="A103" s="3291"/>
      <c r="B103" s="2897">
        <v>2</v>
      </c>
      <c r="C103" s="2898">
        <f>1.4198/C101</f>
        <v>0.20787701317715959</v>
      </c>
      <c r="D103" s="2898">
        <f>1.4198/D101</f>
        <v>0.20787701317715959</v>
      </c>
      <c r="E103" s="2898">
        <f>1.3372/E101</f>
        <v>0.19578330893118592</v>
      </c>
      <c r="F103" s="2898">
        <f>1.3372/F101</f>
        <v>0.19578330893118592</v>
      </c>
      <c r="G103" s="2898">
        <f>1.3372/G101</f>
        <v>0.19578330893118592</v>
      </c>
      <c r="H103" s="2898">
        <f>1.3372/H101</f>
        <v>0.19578330893118592</v>
      </c>
      <c r="I103" s="2898">
        <f>1.3372/I101</f>
        <v>0.19578330893118592</v>
      </c>
      <c r="J103" s="2898">
        <f>1.2799/J101</f>
        <v>0.187393850658858</v>
      </c>
      <c r="K103" s="2898">
        <f>1.2799/K101</f>
        <v>0.187393850658858</v>
      </c>
      <c r="L103" s="2898">
        <f>1.2799/L101</f>
        <v>0.187393850658858</v>
      </c>
      <c r="M103" s="2898">
        <f>1.2799/M101</f>
        <v>0.187393850658858</v>
      </c>
      <c r="N103" s="2898">
        <f>1.2799/N101</f>
        <v>0.187393850658858</v>
      </c>
    </row>
    <row r="104" spans="1:14">
      <c r="A104" s="3291"/>
      <c r="B104" s="2897">
        <v>3</v>
      </c>
      <c r="C104" s="2898">
        <f>1.1594/C101</f>
        <v>0.1697510980966325</v>
      </c>
      <c r="D104" s="2898">
        <f>1.1594/D101</f>
        <v>0.1697510980966325</v>
      </c>
      <c r="E104" s="2898">
        <f>1.0788/E101</f>
        <v>0.15795021961932651</v>
      </c>
      <c r="F104" s="2898">
        <f>1.0788/F101</f>
        <v>0.15795021961932651</v>
      </c>
      <c r="G104" s="2898">
        <f>1.0788/G101</f>
        <v>0.15795021961932651</v>
      </c>
      <c r="H104" s="2898">
        <f>1.0788/H101</f>
        <v>0.15795021961932651</v>
      </c>
      <c r="I104" s="2898">
        <f>1.0788/I101</f>
        <v>0.15795021961932651</v>
      </c>
      <c r="J104" s="2898">
        <f>1.0072/J101</f>
        <v>0.1474670571010249</v>
      </c>
      <c r="K104" s="2898">
        <f>1.0072/K101</f>
        <v>0.1474670571010249</v>
      </c>
      <c r="L104" s="2898">
        <f>1.0072/L101</f>
        <v>0.1474670571010249</v>
      </c>
      <c r="M104" s="2898">
        <f>1.0072/M101</f>
        <v>0.1474670571010249</v>
      </c>
      <c r="N104" s="2898">
        <f>1.0072/N101</f>
        <v>0.1474670571010249</v>
      </c>
    </row>
    <row r="105" spans="1:14">
      <c r="A105" s="3291"/>
      <c r="B105" s="2897">
        <v>4</v>
      </c>
      <c r="C105" s="2898">
        <f>0.9622/C101</f>
        <v>0.14087847730600295</v>
      </c>
      <c r="D105" s="2898">
        <f>0.9622/D101</f>
        <v>0.14087847730600295</v>
      </c>
      <c r="E105" s="2898">
        <f>0.8656/E101</f>
        <v>0.12673499267935578</v>
      </c>
      <c r="F105" s="2898">
        <f>0.8656/F101</f>
        <v>0.12673499267935578</v>
      </c>
      <c r="G105" s="2898">
        <f>0.8656/G101</f>
        <v>0.12673499267935578</v>
      </c>
      <c r="H105" s="2898">
        <f>0.8656/H101</f>
        <v>0.12673499267935578</v>
      </c>
      <c r="I105" s="2898">
        <f>0.8656/I101</f>
        <v>0.12673499267935578</v>
      </c>
      <c r="J105" s="2898">
        <f>0.7525/J101</f>
        <v>0.11017569546120058</v>
      </c>
      <c r="K105" s="2898">
        <f>0.7525/K101</f>
        <v>0.11017569546120058</v>
      </c>
      <c r="L105" s="2898">
        <f>0.7525/L101</f>
        <v>0.11017569546120058</v>
      </c>
      <c r="M105" s="2898">
        <f>0.7525/M101</f>
        <v>0.11017569546120058</v>
      </c>
      <c r="N105" s="2898">
        <f>0.7525/N101</f>
        <v>0.11017569546120058</v>
      </c>
    </row>
    <row r="106" spans="1:14">
      <c r="A106" s="3291"/>
      <c r="B106" s="2897">
        <v>5</v>
      </c>
      <c r="C106" s="2898">
        <f>0.8417/C101</f>
        <v>0.12323572474377745</v>
      </c>
      <c r="D106" s="2898">
        <f>0.8417/D101</f>
        <v>0.12323572474377745</v>
      </c>
      <c r="E106" s="2898">
        <f>0.7371/E101</f>
        <v>0.10792093704245974</v>
      </c>
      <c r="F106" s="2898">
        <f>0.7371/F101</f>
        <v>0.10792093704245974</v>
      </c>
      <c r="G106" s="2898">
        <f>0.7371/G101</f>
        <v>0.10792093704245974</v>
      </c>
      <c r="H106" s="2898">
        <f>0.7371/H101</f>
        <v>0.10792093704245974</v>
      </c>
      <c r="I106" s="2898">
        <f>0.7371/I101</f>
        <v>0.10792093704245974</v>
      </c>
      <c r="J106" s="2898">
        <f>0.5659/J101</f>
        <v>8.2855051244509509E-2</v>
      </c>
      <c r="K106" s="2898">
        <f>0.5659/K101</f>
        <v>8.2855051244509509E-2</v>
      </c>
      <c r="L106" s="2898">
        <f>0.5659/L101</f>
        <v>8.2855051244509509E-2</v>
      </c>
      <c r="M106" s="2898">
        <f>0.5659/M101</f>
        <v>8.2855051244509509E-2</v>
      </c>
      <c r="N106" s="2898">
        <f>0.5659/N101</f>
        <v>8.2855051244509509E-2</v>
      </c>
    </row>
    <row r="107" spans="1:14">
      <c r="A107" s="3291"/>
      <c r="B107" s="2897">
        <v>6</v>
      </c>
      <c r="C107" s="2898">
        <f>0.7608/C101</f>
        <v>0.11139092240117131</v>
      </c>
      <c r="D107" s="2898">
        <f>0.7608/D101</f>
        <v>0.11139092240117131</v>
      </c>
      <c r="E107" s="2898">
        <f>0.6482/E101</f>
        <v>9.4904831625183012E-2</v>
      </c>
      <c r="F107" s="2898">
        <f>0.6482/F101</f>
        <v>9.4904831625183012E-2</v>
      </c>
      <c r="G107" s="2898">
        <f>0.6482/G101</f>
        <v>9.4904831625183012E-2</v>
      </c>
      <c r="H107" s="2898">
        <f>0.6482/H101</f>
        <v>9.4904831625183012E-2</v>
      </c>
      <c r="I107" s="2898">
        <f>0.6482/I101</f>
        <v>9.4904831625183012E-2</v>
      </c>
      <c r="J107" s="2898">
        <f>0.4525/J101</f>
        <v>6.6251830161054168E-2</v>
      </c>
      <c r="K107" s="2898">
        <f>0.4525/K101</f>
        <v>6.6251830161054168E-2</v>
      </c>
      <c r="L107" s="2898">
        <f>0.4525/L101</f>
        <v>6.6251830161054168E-2</v>
      </c>
      <c r="M107" s="2898">
        <f>0.4525/M101</f>
        <v>6.6251830161054168E-2</v>
      </c>
      <c r="N107" s="2898">
        <f>0.4525/N101</f>
        <v>6.6251830161054168E-2</v>
      </c>
    </row>
    <row r="108" spans="1:14">
      <c r="A108" s="3291"/>
      <c r="B108" s="3148"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2"/>
      <c r="B109" s="3149"/>
      <c r="C109" s="2900">
        <f>(-0.163*(C108^2)-0.59*C108+7617)*(10^(-4))/C101</f>
        <v>0.11152269399707175</v>
      </c>
      <c r="D109" s="2900">
        <f>(-0.163*(D108^2)-0.59*D108+7617)*(10^(-4))/D101</f>
        <v>0.11152269399707175</v>
      </c>
      <c r="E109" s="2900">
        <f>(-0.161*(E108^2)-7.509*E108+6533)*(10^(-4))/E101</f>
        <v>9.5651537335285503E-2</v>
      </c>
      <c r="F109" s="2900">
        <f>(-0.161*(F108^2)-7.509*F108+6533)*(10^(-4))/F101</f>
        <v>9.5651537335285503E-2</v>
      </c>
      <c r="G109" s="2900">
        <f>(-0.161*(G108^2)-7.509*G108+6533)*(10^(-4))/G101</f>
        <v>9.5651537335285503E-2</v>
      </c>
      <c r="H109" s="2900">
        <f>(-0.161*(H108^2)-7.509*H108+6533)*(10^(-4))/H101</f>
        <v>9.5651537335285503E-2</v>
      </c>
      <c r="I109" s="2900">
        <f>(-0.161*(I108^2)-7.509*I108+6533)*(10^(-4))/I101</f>
        <v>9.5651537335285503E-2</v>
      </c>
      <c r="J109" s="2900">
        <f>(-0.214*(J108^2)-21.991*J108+4665)*(10^(-4))/J101</f>
        <v>6.8301610541727675E-2</v>
      </c>
      <c r="K109" s="2900">
        <f>(-0.214*(K108^2)-21.991*K108+4665)*(10^(-4))/K101</f>
        <v>6.8301610541727675E-2</v>
      </c>
      <c r="L109" s="2900">
        <f>(-0.214*(L108^2)-21.991*L108+4665)*(10^(-4))/L101</f>
        <v>6.8301610541727675E-2</v>
      </c>
      <c r="M109" s="2900">
        <f>(-0.214*(M108^2)-21.991*M108+4665)*(10^(-4))/M101</f>
        <v>6.8301610541727675E-2</v>
      </c>
      <c r="N109" s="2900">
        <f>(-0.214*(N108^2)-21.991*N108+4665)*(10^(-4))/N101</f>
        <v>6.8301610541727675E-2</v>
      </c>
    </row>
    <row r="110" spans="1:14">
      <c r="A110" s="3288" t="s">
        <v>2981</v>
      </c>
      <c r="B110" s="3288"/>
      <c r="C110" s="3288"/>
      <c r="D110" s="3288"/>
      <c r="E110" s="3288"/>
      <c r="F110" s="3288"/>
      <c r="G110" s="3288"/>
      <c r="H110" s="3288"/>
      <c r="I110" s="3288"/>
      <c r="J110" s="3288"/>
      <c r="K110" s="2903"/>
      <c r="L110" s="2903"/>
      <c r="M110" s="2903"/>
      <c r="N110" s="2903"/>
    </row>
    <row r="112" spans="1:14" ht="13.5" thickBot="1"/>
    <row r="113" spans="1:13" ht="25.5" thickBot="1">
      <c r="A113" s="901" t="s">
        <v>2982</v>
      </c>
      <c r="B113" s="1288">
        <f>G3</f>
        <v>6.83</v>
      </c>
      <c r="C113" s="902" t="s">
        <v>2983</v>
      </c>
      <c r="D113" s="903">
        <f>SUMPRODUCT((A115:A118=F113)*(B114:M114=H113)*B115:M118)</f>
        <v>0</v>
      </c>
      <c r="E113" s="2726" t="s">
        <v>2813</v>
      </c>
      <c r="F113" s="2905">
        <f>E2</f>
        <v>0</v>
      </c>
      <c r="G113" s="2726" t="s">
        <v>2814</v>
      </c>
      <c r="H113" s="2905">
        <f>G2</f>
        <v>0</v>
      </c>
      <c r="I113" s="2726"/>
      <c r="J113" s="2906"/>
      <c r="K113" s="2906"/>
      <c r="L113" s="2906"/>
      <c r="M113" s="2906"/>
    </row>
    <row r="114" spans="1:13">
      <c r="A114" s="906"/>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7" t="s">
        <v>2878</v>
      </c>
      <c r="B115" s="908">
        <f>ROUND(0.9335-0.0094*B113,4)</f>
        <v>0.86929999999999996</v>
      </c>
      <c r="C115" s="908">
        <f>B115</f>
        <v>0.86929999999999996</v>
      </c>
      <c r="D115" s="908">
        <f>ROUND(0.8331-0.0109*B113,4)</f>
        <v>0.75870000000000004</v>
      </c>
      <c r="E115" s="908">
        <f>D115</f>
        <v>0.75870000000000004</v>
      </c>
      <c r="F115" s="908">
        <f>E115</f>
        <v>0.75870000000000004</v>
      </c>
      <c r="G115" s="908">
        <f>F115</f>
        <v>0.75870000000000004</v>
      </c>
      <c r="H115" s="908">
        <f>G115</f>
        <v>0.75870000000000004</v>
      </c>
      <c r="I115" s="908">
        <f>ROUND(0.689-0.0155*B113,4)</f>
        <v>0.58309999999999995</v>
      </c>
      <c r="J115" s="908">
        <f t="shared" ref="J115:M118" si="33">I115</f>
        <v>0.58309999999999995</v>
      </c>
      <c r="K115" s="908">
        <f t="shared" si="33"/>
        <v>0.58309999999999995</v>
      </c>
      <c r="L115" s="908">
        <f t="shared" si="33"/>
        <v>0.58309999999999995</v>
      </c>
      <c r="M115" s="909">
        <f t="shared" si="33"/>
        <v>0.58309999999999995</v>
      </c>
    </row>
    <row r="116" spans="1:13">
      <c r="A116" s="907" t="s">
        <v>2879</v>
      </c>
      <c r="B116" s="908">
        <f>ROUND(0.949-0.012*B113,4)</f>
        <v>0.86699999999999999</v>
      </c>
      <c r="C116" s="908">
        <f>B116</f>
        <v>0.86699999999999999</v>
      </c>
      <c r="D116" s="908">
        <f>ROUND(0.8567-0.013*B113,4)</f>
        <v>0.76790000000000003</v>
      </c>
      <c r="E116" s="908">
        <f t="shared" ref="E116:H117" si="34">D116</f>
        <v>0.76790000000000003</v>
      </c>
      <c r="F116" s="908">
        <f t="shared" si="34"/>
        <v>0.76790000000000003</v>
      </c>
      <c r="G116" s="908">
        <f t="shared" si="34"/>
        <v>0.76790000000000003</v>
      </c>
      <c r="H116" s="908">
        <f t="shared" si="34"/>
        <v>0.76790000000000003</v>
      </c>
      <c r="I116" s="908">
        <f>ROUND(0.7694-0.014*B113,4)</f>
        <v>0.67379999999999995</v>
      </c>
      <c r="J116" s="908">
        <f t="shared" si="33"/>
        <v>0.67379999999999995</v>
      </c>
      <c r="K116" s="908">
        <f t="shared" si="33"/>
        <v>0.67379999999999995</v>
      </c>
      <c r="L116" s="908">
        <f t="shared" si="33"/>
        <v>0.67379999999999995</v>
      </c>
      <c r="M116" s="909">
        <f t="shared" si="33"/>
        <v>0.67379999999999995</v>
      </c>
    </row>
    <row r="117" spans="1:13">
      <c r="A117" s="907" t="s">
        <v>2880</v>
      </c>
      <c r="B117" s="908">
        <f>ROUND(0.8808-0.006*B113,4)</f>
        <v>0.83979999999999999</v>
      </c>
      <c r="C117" s="908">
        <f>B117</f>
        <v>0.83979999999999999</v>
      </c>
      <c r="D117" s="908">
        <f>ROUND(0.8748-0.008*B113,4)</f>
        <v>0.82020000000000004</v>
      </c>
      <c r="E117" s="908">
        <f t="shared" si="34"/>
        <v>0.82020000000000004</v>
      </c>
      <c r="F117" s="908">
        <f t="shared" si="34"/>
        <v>0.82020000000000004</v>
      </c>
      <c r="G117" s="908">
        <f t="shared" si="34"/>
        <v>0.82020000000000004</v>
      </c>
      <c r="H117" s="908">
        <f t="shared" si="34"/>
        <v>0.82020000000000004</v>
      </c>
      <c r="I117" s="908">
        <f>ROUND(0.7412-0.0095*B113,4)</f>
        <v>0.67630000000000001</v>
      </c>
      <c r="J117" s="908">
        <f t="shared" si="33"/>
        <v>0.67630000000000001</v>
      </c>
      <c r="K117" s="908">
        <f t="shared" si="33"/>
        <v>0.67630000000000001</v>
      </c>
      <c r="L117" s="908">
        <f t="shared" si="33"/>
        <v>0.67630000000000001</v>
      </c>
      <c r="M117" s="909">
        <f t="shared" si="33"/>
        <v>0.67630000000000001</v>
      </c>
    </row>
    <row r="118" spans="1:13" ht="13.5" thickBot="1">
      <c r="A118" s="713" t="s">
        <v>2881</v>
      </c>
      <c r="B118" s="910">
        <f>ROUND(0.7275-0.01*B113,4)</f>
        <v>0.65920000000000001</v>
      </c>
      <c r="C118" s="910">
        <f>B118</f>
        <v>0.65920000000000001</v>
      </c>
      <c r="D118" s="910">
        <f>ROUND(0.7043-0.012*B113,4)</f>
        <v>0.62229999999999996</v>
      </c>
      <c r="E118" s="910">
        <f>D118</f>
        <v>0.62229999999999996</v>
      </c>
      <c r="F118" s="910">
        <f>E118</f>
        <v>0.62229999999999996</v>
      </c>
      <c r="G118" s="910">
        <f>ROUND(0.6299-0.0122*B113,4)</f>
        <v>0.54659999999999997</v>
      </c>
      <c r="H118" s="910">
        <f>G118</f>
        <v>0.54659999999999997</v>
      </c>
      <c r="I118" s="910">
        <f>ROUND(0.5667-0.0136*B113,4)</f>
        <v>0.4738</v>
      </c>
      <c r="J118" s="910">
        <f t="shared" si="33"/>
        <v>0.4738</v>
      </c>
      <c r="K118" s="910">
        <f t="shared" si="33"/>
        <v>0.4738</v>
      </c>
      <c r="L118" s="910">
        <f t="shared" si="33"/>
        <v>0.4738</v>
      </c>
      <c r="M118" s="911">
        <f t="shared" si="33"/>
        <v>0.4738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6" t="s">
        <v>183</v>
      </c>
      <c r="B18" s="880" t="s">
        <v>560</v>
      </c>
      <c r="C18" s="881" t="s">
        <v>561</v>
      </c>
      <c r="D18" s="882"/>
      <c r="E18" s="880">
        <v>1</v>
      </c>
      <c r="F18" s="883" t="s">
        <v>562</v>
      </c>
      <c r="G18" s="884"/>
      <c r="H18" s="876"/>
      <c r="I18" s="876"/>
    </row>
    <row r="19" spans="1:9" s="885" customFormat="1" ht="19.5" customHeight="1">
      <c r="A19" s="3296"/>
      <c r="B19" s="3296" t="s">
        <v>563</v>
      </c>
      <c r="C19" s="881" t="s">
        <v>564</v>
      </c>
      <c r="D19" s="882"/>
      <c r="E19" s="880">
        <v>0.9</v>
      </c>
      <c r="F19" s="883" t="s">
        <v>565</v>
      </c>
      <c r="G19" s="884"/>
      <c r="H19" s="876"/>
      <c r="I19" s="876"/>
    </row>
    <row r="20" spans="1:9" s="885" customFormat="1" ht="19.5" customHeight="1">
      <c r="A20" s="3296"/>
      <c r="B20" s="3296"/>
      <c r="C20" s="881" t="s">
        <v>566</v>
      </c>
      <c r="D20" s="882"/>
      <c r="E20" s="880">
        <v>1.1000000000000001</v>
      </c>
      <c r="F20" s="883" t="s">
        <v>567</v>
      </c>
      <c r="G20" s="884"/>
      <c r="H20" s="876"/>
      <c r="I20" s="876"/>
    </row>
    <row r="21" spans="1:9" s="885" customFormat="1" ht="19.5" customHeight="1">
      <c r="A21" s="3296"/>
      <c r="B21" s="3296"/>
      <c r="C21" s="881" t="s">
        <v>568</v>
      </c>
      <c r="D21" s="882"/>
      <c r="E21" s="880">
        <v>0.8</v>
      </c>
      <c r="F21" s="883" t="s">
        <v>569</v>
      </c>
      <c r="G21" s="884"/>
      <c r="H21" s="876"/>
      <c r="I21" s="876"/>
    </row>
    <row r="22" spans="1:9" s="885" customFormat="1" ht="19.5" customHeight="1">
      <c r="A22" s="3296"/>
      <c r="B22" s="3296"/>
      <c r="C22" s="881" t="s">
        <v>570</v>
      </c>
      <c r="D22" s="882"/>
      <c r="E22" s="880">
        <v>0.5</v>
      </c>
      <c r="F22" s="883"/>
      <c r="G22" s="884"/>
      <c r="H22" s="876"/>
      <c r="I22" s="876"/>
    </row>
    <row r="23" spans="1:9" s="885" customFormat="1" ht="19.5" customHeight="1">
      <c r="A23" s="3296" t="s">
        <v>184</v>
      </c>
      <c r="B23" s="880" t="s">
        <v>560</v>
      </c>
      <c r="C23" s="881" t="s">
        <v>571</v>
      </c>
      <c r="D23" s="882"/>
      <c r="E23" s="880">
        <v>1</v>
      </c>
      <c r="F23" s="883" t="s">
        <v>572</v>
      </c>
      <c r="G23" s="884"/>
      <c r="H23" s="876"/>
      <c r="I23" s="876"/>
    </row>
    <row r="24" spans="1:9" s="885" customFormat="1" ht="19.5" customHeight="1">
      <c r="A24" s="3296"/>
      <c r="B24" s="3296" t="s">
        <v>563</v>
      </c>
      <c r="C24" s="881" t="s">
        <v>573</v>
      </c>
      <c r="D24" s="882"/>
      <c r="E24" s="880">
        <v>0.5</v>
      </c>
      <c r="F24" s="883"/>
      <c r="G24" s="884"/>
      <c r="H24" s="876"/>
      <c r="I24" s="876"/>
    </row>
    <row r="25" spans="1:9" s="885" customFormat="1" ht="19.5" customHeight="1">
      <c r="A25" s="3296"/>
      <c r="B25" s="3296"/>
      <c r="C25" s="881" t="s">
        <v>574</v>
      </c>
      <c r="D25" s="882"/>
      <c r="E25" s="880">
        <v>1.1000000000000001</v>
      </c>
      <c r="F25" s="883"/>
      <c r="G25" s="884"/>
      <c r="H25" s="876"/>
      <c r="I25" s="876"/>
    </row>
    <row r="26" spans="1:9" s="885" customFormat="1" ht="19.5" customHeight="1">
      <c r="A26" s="3296"/>
      <c r="B26" s="3296"/>
      <c r="C26" s="881" t="s">
        <v>575</v>
      </c>
      <c r="D26" s="882"/>
      <c r="E26" s="880">
        <v>1.1000000000000001</v>
      </c>
      <c r="F26" s="883"/>
      <c r="G26" s="884"/>
      <c r="H26" s="876"/>
      <c r="I26" s="876"/>
    </row>
    <row r="27" spans="1:9" s="885" customFormat="1" ht="19.5" customHeight="1">
      <c r="A27" s="3296"/>
      <c r="B27" s="3296"/>
      <c r="C27" s="881" t="s">
        <v>576</v>
      </c>
      <c r="D27" s="882"/>
      <c r="E27" s="880">
        <v>0.9</v>
      </c>
      <c r="F27" s="883" t="s">
        <v>577</v>
      </c>
      <c r="G27" s="884"/>
      <c r="H27" s="876"/>
      <c r="I27" s="876"/>
    </row>
    <row r="28" spans="1:9" s="885" customFormat="1" ht="19.5" customHeight="1">
      <c r="A28" s="3296"/>
      <c r="B28" s="3296"/>
      <c r="C28" s="881" t="s">
        <v>578</v>
      </c>
      <c r="D28" s="882"/>
      <c r="E28" s="880">
        <v>0.9</v>
      </c>
      <c r="F28" s="883" t="s">
        <v>579</v>
      </c>
      <c r="G28" s="884"/>
      <c r="H28" s="876"/>
      <c r="I28" s="876"/>
    </row>
    <row r="29" spans="1:9" s="885" customFormat="1" ht="19.5" customHeight="1">
      <c r="A29" s="3296"/>
      <c r="B29" s="3296"/>
      <c r="C29" s="881" t="s">
        <v>580</v>
      </c>
      <c r="D29" s="882"/>
      <c r="E29" s="880">
        <v>0.9</v>
      </c>
      <c r="F29" s="883" t="s">
        <v>581</v>
      </c>
      <c r="G29" s="884"/>
      <c r="H29" s="876"/>
      <c r="I29" s="876"/>
    </row>
    <row r="30" spans="1:9" s="885" customFormat="1" ht="19.5" customHeight="1">
      <c r="A30" s="3296"/>
      <c r="B30" s="3296"/>
      <c r="C30" s="881" t="s">
        <v>582</v>
      </c>
      <c r="D30" s="882"/>
      <c r="E30" s="880">
        <v>0.9</v>
      </c>
      <c r="F30" s="883" t="s">
        <v>583</v>
      </c>
      <c r="G30" s="884"/>
      <c r="H30" s="876"/>
      <c r="I30" s="876"/>
    </row>
    <row r="31" spans="1:9" s="885" customFormat="1" ht="19.5" customHeight="1">
      <c r="A31" s="3296"/>
      <c r="B31" s="3296"/>
      <c r="C31" s="881" t="s">
        <v>584</v>
      </c>
      <c r="D31" s="882"/>
      <c r="E31" s="880">
        <v>0.8</v>
      </c>
      <c r="F31" s="883" t="s">
        <v>585</v>
      </c>
      <c r="G31" s="884"/>
      <c r="H31" s="876"/>
      <c r="I31" s="876"/>
    </row>
    <row r="32" spans="1:9" s="885" customFormat="1" ht="19.5" customHeight="1">
      <c r="A32" s="3296"/>
      <c r="B32" s="3296"/>
      <c r="C32" s="881" t="s">
        <v>586</v>
      </c>
      <c r="D32" s="882"/>
      <c r="E32" s="880">
        <v>0.8</v>
      </c>
      <c r="F32" s="883" t="s">
        <v>587</v>
      </c>
      <c r="G32" s="884"/>
      <c r="H32" s="876"/>
      <c r="I32" s="876"/>
    </row>
    <row r="33" spans="1:9" s="885" customFormat="1" ht="19.5" customHeight="1">
      <c r="A33" s="3296" t="s">
        <v>185</v>
      </c>
      <c r="B33" s="880" t="s">
        <v>560</v>
      </c>
      <c r="C33" s="881" t="s">
        <v>588</v>
      </c>
      <c r="D33" s="882"/>
      <c r="E33" s="880">
        <v>1</v>
      </c>
      <c r="F33" s="883" t="s">
        <v>589</v>
      </c>
      <c r="G33" s="884"/>
      <c r="H33" s="876"/>
      <c r="I33" s="876"/>
    </row>
    <row r="34" spans="1:9" s="885" customFormat="1" ht="19.5" customHeight="1">
      <c r="A34" s="3296"/>
      <c r="B34" s="880" t="s">
        <v>563</v>
      </c>
      <c r="C34" s="881" t="s">
        <v>590</v>
      </c>
      <c r="D34" s="882"/>
      <c r="E34" s="880">
        <v>1.5</v>
      </c>
      <c r="F34" s="883" t="s">
        <v>591</v>
      </c>
      <c r="G34" s="884"/>
      <c r="H34" s="876"/>
      <c r="I34" s="876"/>
    </row>
    <row r="35" spans="1:9" s="885" customFormat="1" ht="19.5" customHeight="1">
      <c r="A35" s="3296" t="s">
        <v>186</v>
      </c>
      <c r="B35" s="880" t="s">
        <v>560</v>
      </c>
      <c r="C35" s="881" t="s">
        <v>592</v>
      </c>
      <c r="D35" s="882"/>
      <c r="E35" s="880">
        <v>1</v>
      </c>
      <c r="F35" s="883" t="s">
        <v>593</v>
      </c>
      <c r="G35" s="884"/>
      <c r="H35" s="876"/>
      <c r="I35" s="876"/>
    </row>
    <row r="36" spans="1:9" s="885" customFormat="1" ht="19.5" customHeight="1">
      <c r="A36" s="3296"/>
      <c r="B36" s="3296" t="s">
        <v>563</v>
      </c>
      <c r="C36" s="881" t="s">
        <v>594</v>
      </c>
      <c r="D36" s="882"/>
      <c r="E36" s="880">
        <v>1</v>
      </c>
      <c r="F36" s="883" t="s">
        <v>595</v>
      </c>
      <c r="G36" s="884"/>
      <c r="H36" s="876"/>
      <c r="I36" s="876"/>
    </row>
    <row r="37" spans="1:9" s="885" customFormat="1" ht="19.5" customHeight="1">
      <c r="A37" s="3296"/>
      <c r="B37" s="3296"/>
      <c r="C37" s="881" t="s">
        <v>596</v>
      </c>
      <c r="D37" s="882"/>
      <c r="E37" s="880">
        <v>1.5</v>
      </c>
      <c r="F37" s="883" t="s">
        <v>597</v>
      </c>
      <c r="G37" s="884"/>
      <c r="H37" s="876"/>
      <c r="I37" s="876"/>
    </row>
    <row r="38" spans="1:9" s="885" customFormat="1" ht="19.5" customHeight="1">
      <c r="A38" s="3296"/>
      <c r="B38" s="3296"/>
      <c r="C38" s="881" t="s">
        <v>598</v>
      </c>
      <c r="D38" s="882"/>
      <c r="E38" s="880">
        <v>1</v>
      </c>
      <c r="F38" s="883" t="s">
        <v>599</v>
      </c>
      <c r="G38" s="884"/>
      <c r="H38" s="876"/>
      <c r="I38" s="876"/>
    </row>
    <row r="39" spans="1:9" s="885" customFormat="1" ht="19.5" customHeight="1">
      <c r="A39" s="3296"/>
      <c r="B39" s="329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6" t="s">
        <v>614</v>
      </c>
      <c r="C61" s="816" t="s">
        <v>615</v>
      </c>
      <c r="D61" s="816" t="s">
        <v>616</v>
      </c>
      <c r="E61" s="893">
        <v>0.5</v>
      </c>
      <c r="F61" s="880">
        <v>80</v>
      </c>
    </row>
    <row r="62" spans="1:8" s="876" customFormat="1" ht="24">
      <c r="A62" s="880">
        <v>2</v>
      </c>
      <c r="B62" s="3296"/>
      <c r="C62" s="816" t="s">
        <v>617</v>
      </c>
      <c r="D62" s="816" t="s">
        <v>618</v>
      </c>
      <c r="E62" s="893">
        <v>0.5</v>
      </c>
      <c r="F62" s="880">
        <v>80</v>
      </c>
    </row>
    <row r="63" spans="1:8" s="876" customFormat="1" ht="36">
      <c r="A63" s="880">
        <v>3</v>
      </c>
      <c r="B63" s="3296"/>
      <c r="C63" s="816" t="s">
        <v>619</v>
      </c>
      <c r="D63" s="816" t="s">
        <v>620</v>
      </c>
      <c r="E63" s="893">
        <v>0.5</v>
      </c>
      <c r="F63" s="880">
        <v>80</v>
      </c>
    </row>
    <row r="64" spans="1:8" s="876" customFormat="1" ht="36">
      <c r="A64" s="880">
        <v>4</v>
      </c>
      <c r="B64" s="3296"/>
      <c r="C64" s="816" t="s">
        <v>621</v>
      </c>
      <c r="D64" s="816" t="s">
        <v>622</v>
      </c>
      <c r="E64" s="893">
        <v>0.4</v>
      </c>
      <c r="F64" s="880">
        <v>60</v>
      </c>
    </row>
    <row r="65" spans="1:6" s="876" customFormat="1" ht="36">
      <c r="A65" s="880">
        <v>5</v>
      </c>
      <c r="B65" s="3296"/>
      <c r="C65" s="816" t="s">
        <v>623</v>
      </c>
      <c r="D65" s="816" t="s">
        <v>624</v>
      </c>
      <c r="E65" s="893">
        <v>0.2</v>
      </c>
      <c r="F65" s="880">
        <v>30</v>
      </c>
    </row>
    <row r="66" spans="1:6" s="876" customFormat="1" ht="36">
      <c r="A66" s="880">
        <v>6</v>
      </c>
      <c r="B66" s="3296"/>
      <c r="C66" s="816" t="s">
        <v>625</v>
      </c>
      <c r="D66" s="816" t="s">
        <v>626</v>
      </c>
      <c r="E66" s="893">
        <v>0.3</v>
      </c>
      <c r="F66" s="880">
        <v>50</v>
      </c>
    </row>
    <row r="67" spans="1:6" s="876" customFormat="1" ht="36">
      <c r="A67" s="880">
        <v>7</v>
      </c>
      <c r="B67" s="3296"/>
      <c r="C67" s="816" t="s">
        <v>627</v>
      </c>
      <c r="D67" s="816" t="s">
        <v>628</v>
      </c>
      <c r="E67" s="893">
        <v>0.2</v>
      </c>
      <c r="F67" s="880">
        <v>30</v>
      </c>
    </row>
    <row r="68" spans="1:6" s="876" customFormat="1" ht="36">
      <c r="A68" s="880">
        <v>8</v>
      </c>
      <c r="B68" s="3296"/>
      <c r="C68" s="816" t="s">
        <v>629</v>
      </c>
      <c r="D68" s="816" t="s">
        <v>630</v>
      </c>
      <c r="E68" s="893">
        <v>0.2</v>
      </c>
      <c r="F68" s="880">
        <v>30</v>
      </c>
    </row>
    <row r="69" spans="1:6" s="876" customFormat="1" ht="36">
      <c r="A69" s="880">
        <v>9</v>
      </c>
      <c r="B69" s="3296"/>
      <c r="C69" s="816" t="s">
        <v>631</v>
      </c>
      <c r="D69" s="816" t="s">
        <v>632</v>
      </c>
      <c r="E69" s="893">
        <v>0.2</v>
      </c>
      <c r="F69" s="880">
        <v>30</v>
      </c>
    </row>
    <row r="70" spans="1:6" s="876" customFormat="1" ht="48">
      <c r="A70" s="880">
        <v>10</v>
      </c>
      <c r="B70" s="3296"/>
      <c r="C70" s="816" t="s">
        <v>633</v>
      </c>
      <c r="D70" s="816" t="s">
        <v>634</v>
      </c>
      <c r="E70" s="893">
        <v>0.2</v>
      </c>
      <c r="F70" s="880">
        <v>30</v>
      </c>
    </row>
    <row r="71" spans="1:6" s="876" customFormat="1" ht="48">
      <c r="A71" s="880">
        <v>11</v>
      </c>
      <c r="B71" s="3296"/>
      <c r="C71" s="816" t="s">
        <v>635</v>
      </c>
      <c r="D71" s="816" t="s">
        <v>636</v>
      </c>
      <c r="E71" s="893">
        <v>0.2</v>
      </c>
      <c r="F71" s="880">
        <v>30</v>
      </c>
    </row>
    <row r="72" spans="1:6" s="876" customFormat="1" ht="36">
      <c r="A72" s="880">
        <v>12</v>
      </c>
      <c r="B72" s="3296"/>
      <c r="C72" s="816" t="s">
        <v>637</v>
      </c>
      <c r="D72" s="816" t="s">
        <v>638</v>
      </c>
      <c r="E72" s="893">
        <v>0.5</v>
      </c>
      <c r="F72" s="880">
        <v>80</v>
      </c>
    </row>
    <row r="73" spans="1:6" s="876" customFormat="1" ht="24">
      <c r="A73" s="880">
        <v>13</v>
      </c>
      <c r="B73" s="3296"/>
      <c r="C73" s="816" t="s">
        <v>639</v>
      </c>
      <c r="D73" s="816" t="s">
        <v>640</v>
      </c>
      <c r="E73" s="893">
        <v>0.4</v>
      </c>
      <c r="F73" s="880">
        <v>60</v>
      </c>
    </row>
    <row r="74" spans="1:6" s="876" customFormat="1" ht="24">
      <c r="A74" s="880">
        <v>14</v>
      </c>
      <c r="B74" s="3296"/>
      <c r="C74" s="816" t="s">
        <v>641</v>
      </c>
      <c r="D74" s="816" t="s">
        <v>642</v>
      </c>
      <c r="E74" s="893">
        <v>0.2</v>
      </c>
      <c r="F74" s="880">
        <v>30</v>
      </c>
    </row>
    <row r="75" spans="1:6" s="876" customFormat="1" ht="24">
      <c r="A75" s="880">
        <v>15</v>
      </c>
      <c r="B75" s="3296"/>
      <c r="C75" s="816" t="s">
        <v>643</v>
      </c>
      <c r="D75" s="816" t="s">
        <v>644</v>
      </c>
      <c r="E75" s="893">
        <v>0.2</v>
      </c>
      <c r="F75" s="880">
        <v>30</v>
      </c>
    </row>
    <row r="76" spans="1:6" s="876" customFormat="1" ht="24">
      <c r="A76" s="880">
        <v>16</v>
      </c>
      <c r="B76" s="3296" t="s">
        <v>645</v>
      </c>
      <c r="C76" s="816" t="s">
        <v>646</v>
      </c>
      <c r="D76" s="816" t="s">
        <v>647</v>
      </c>
      <c r="E76" s="893">
        <v>0.5</v>
      </c>
      <c r="F76" s="880">
        <v>80</v>
      </c>
    </row>
    <row r="77" spans="1:6" s="876" customFormat="1" ht="24">
      <c r="A77" s="880">
        <v>17</v>
      </c>
      <c r="B77" s="3296"/>
      <c r="C77" s="816" t="s">
        <v>648</v>
      </c>
      <c r="D77" s="816" t="s">
        <v>649</v>
      </c>
      <c r="E77" s="893">
        <v>0.5</v>
      </c>
      <c r="F77" s="880">
        <v>80</v>
      </c>
    </row>
    <row r="78" spans="1:6" s="876" customFormat="1" ht="24">
      <c r="A78" s="880">
        <v>18</v>
      </c>
      <c r="B78" s="3296"/>
      <c r="C78" s="816" t="s">
        <v>650</v>
      </c>
      <c r="D78" s="816" t="s">
        <v>651</v>
      </c>
      <c r="E78" s="893">
        <v>0.2</v>
      </c>
      <c r="F78" s="880">
        <v>30</v>
      </c>
    </row>
    <row r="79" spans="1:6" s="876" customFormat="1" ht="24">
      <c r="A79" s="880">
        <v>19</v>
      </c>
      <c r="B79" s="3296"/>
      <c r="C79" s="816" t="s">
        <v>652</v>
      </c>
      <c r="D79" s="816" t="s">
        <v>653</v>
      </c>
      <c r="E79" s="893">
        <v>0.5</v>
      </c>
      <c r="F79" s="880">
        <v>80</v>
      </c>
    </row>
    <row r="80" spans="1:6" s="876" customFormat="1" ht="36">
      <c r="A80" s="880">
        <v>20</v>
      </c>
      <c r="B80" s="3296"/>
      <c r="C80" s="816" t="s">
        <v>654</v>
      </c>
      <c r="D80" s="816" t="s">
        <v>655</v>
      </c>
      <c r="E80" s="893">
        <v>0.2</v>
      </c>
      <c r="F80" s="880">
        <v>30</v>
      </c>
    </row>
    <row r="81" spans="1:6" s="876" customFormat="1" ht="36">
      <c r="A81" s="880">
        <v>21</v>
      </c>
      <c r="B81" s="3296"/>
      <c r="C81" s="816" t="s">
        <v>656</v>
      </c>
      <c r="D81" s="816" t="s">
        <v>657</v>
      </c>
      <c r="E81" s="893">
        <v>0.2</v>
      </c>
      <c r="F81" s="880">
        <v>30</v>
      </c>
    </row>
    <row r="82" spans="1:6" s="876" customFormat="1" ht="48">
      <c r="A82" s="880">
        <v>22</v>
      </c>
      <c r="B82" s="3296"/>
      <c r="C82" s="816" t="s">
        <v>658</v>
      </c>
      <c r="D82" s="816" t="s">
        <v>659</v>
      </c>
      <c r="E82" s="893">
        <v>0.2</v>
      </c>
      <c r="F82" s="880">
        <v>30</v>
      </c>
    </row>
    <row r="83" spans="1:6" s="876" customFormat="1" ht="48">
      <c r="A83" s="880">
        <v>23</v>
      </c>
      <c r="B83" s="3296"/>
      <c r="C83" s="816" t="s">
        <v>660</v>
      </c>
      <c r="D83" s="816" t="s">
        <v>661</v>
      </c>
      <c r="E83" s="893">
        <v>0.2</v>
      </c>
      <c r="F83" s="880">
        <v>30</v>
      </c>
    </row>
    <row r="84" spans="1:6" s="876" customFormat="1" ht="36">
      <c r="A84" s="880">
        <v>24</v>
      </c>
      <c r="B84" s="3296"/>
      <c r="C84" s="816" t="s">
        <v>662</v>
      </c>
      <c r="D84" s="816" t="s">
        <v>663</v>
      </c>
      <c r="E84" s="893">
        <v>0.2</v>
      </c>
      <c r="F84" s="880">
        <v>30</v>
      </c>
    </row>
    <row r="85" spans="1:6" s="876" customFormat="1" ht="36">
      <c r="A85" s="880">
        <v>25</v>
      </c>
      <c r="B85" s="3296"/>
      <c r="C85" s="816" t="s">
        <v>664</v>
      </c>
      <c r="D85" s="816" t="s">
        <v>665</v>
      </c>
      <c r="E85" s="893">
        <v>0.5</v>
      </c>
      <c r="F85" s="880">
        <v>80</v>
      </c>
    </row>
    <row r="86" spans="1:6" s="876" customFormat="1" ht="36">
      <c r="A86" s="880">
        <v>26</v>
      </c>
      <c r="B86" s="3296"/>
      <c r="C86" s="816" t="s">
        <v>666</v>
      </c>
      <c r="D86" s="816" t="s">
        <v>667</v>
      </c>
      <c r="E86" s="893">
        <v>0.2</v>
      </c>
      <c r="F86" s="880">
        <v>30</v>
      </c>
    </row>
    <row r="87" spans="1:6" s="876" customFormat="1" ht="36">
      <c r="A87" s="880">
        <v>27</v>
      </c>
      <c r="B87" s="3296"/>
      <c r="C87" s="816" t="s">
        <v>668</v>
      </c>
      <c r="D87" s="816" t="s">
        <v>669</v>
      </c>
      <c r="E87" s="893">
        <v>0.2</v>
      </c>
      <c r="F87" s="880">
        <v>30</v>
      </c>
    </row>
    <row r="88" spans="1:6" s="876" customFormat="1" ht="36">
      <c r="A88" s="880">
        <v>28</v>
      </c>
      <c r="B88" s="3296"/>
      <c r="C88" s="816" t="s">
        <v>670</v>
      </c>
      <c r="D88" s="816" t="s">
        <v>671</v>
      </c>
      <c r="E88" s="893">
        <v>0.2</v>
      </c>
      <c r="F88" s="880">
        <v>30</v>
      </c>
    </row>
    <row r="89" spans="1:6" s="876" customFormat="1" ht="24">
      <c r="A89" s="880">
        <v>29</v>
      </c>
      <c r="B89" s="3296"/>
      <c r="C89" s="816" t="s">
        <v>672</v>
      </c>
      <c r="D89" s="816" t="s">
        <v>673</v>
      </c>
      <c r="E89" s="893">
        <v>0.2</v>
      </c>
      <c r="F89" s="880">
        <v>30</v>
      </c>
    </row>
    <row r="90" spans="1:6" s="876" customFormat="1" ht="24">
      <c r="A90" s="880">
        <v>30</v>
      </c>
      <c r="B90" s="3296"/>
      <c r="C90" s="816" t="s">
        <v>674</v>
      </c>
      <c r="D90" s="816" t="s">
        <v>675</v>
      </c>
      <c r="E90" s="893">
        <v>0.2</v>
      </c>
      <c r="F90" s="880">
        <v>30</v>
      </c>
    </row>
    <row r="91" spans="1:6" s="876" customFormat="1" ht="36">
      <c r="A91" s="880">
        <v>31</v>
      </c>
      <c r="B91" s="3296"/>
      <c r="C91" s="816" t="s">
        <v>676</v>
      </c>
      <c r="D91" s="816" t="s">
        <v>677</v>
      </c>
      <c r="E91" s="893">
        <v>0.2</v>
      </c>
      <c r="F91" s="880">
        <v>30</v>
      </c>
    </row>
    <row r="92" spans="1:6" s="876" customFormat="1" ht="24">
      <c r="A92" s="880">
        <v>32</v>
      </c>
      <c r="B92" s="3296" t="s">
        <v>678</v>
      </c>
      <c r="C92" s="880" t="s">
        <v>679</v>
      </c>
      <c r="D92" s="816" t="s">
        <v>680</v>
      </c>
      <c r="E92" s="893">
        <v>0.2</v>
      </c>
      <c r="F92" s="880">
        <v>30</v>
      </c>
    </row>
    <row r="93" spans="1:6" s="876" customFormat="1" ht="36">
      <c r="A93" s="880">
        <v>33</v>
      </c>
      <c r="B93" s="3296"/>
      <c r="C93" s="880" t="s">
        <v>681</v>
      </c>
      <c r="D93" s="816" t="s">
        <v>682</v>
      </c>
      <c r="E93" s="893">
        <v>0.2</v>
      </c>
      <c r="F93" s="880">
        <v>30</v>
      </c>
    </row>
    <row r="94" spans="1:6" s="876" customFormat="1" ht="48">
      <c r="A94" s="880">
        <v>34</v>
      </c>
      <c r="B94" s="3296"/>
      <c r="C94" s="880" t="s">
        <v>683</v>
      </c>
      <c r="D94" s="816" t="s">
        <v>684</v>
      </c>
      <c r="E94" s="893">
        <v>0.2</v>
      </c>
      <c r="F94" s="880">
        <v>30</v>
      </c>
    </row>
    <row r="95" spans="1:6" s="876" customFormat="1" ht="36">
      <c r="A95" s="880">
        <v>35</v>
      </c>
      <c r="B95" s="3296"/>
      <c r="C95" s="880" t="s">
        <v>685</v>
      </c>
      <c r="D95" s="816" t="s">
        <v>686</v>
      </c>
      <c r="E95" s="893">
        <v>0.2</v>
      </c>
      <c r="F95" s="880">
        <v>30</v>
      </c>
    </row>
    <row r="96" spans="1:6" s="876" customFormat="1" ht="48">
      <c r="A96" s="880">
        <v>36</v>
      </c>
      <c r="B96" s="3296"/>
      <c r="C96" s="816" t="s">
        <v>687</v>
      </c>
      <c r="D96" s="816" t="s">
        <v>688</v>
      </c>
      <c r="E96" s="893">
        <v>0.2</v>
      </c>
      <c r="F96" s="880">
        <v>30</v>
      </c>
    </row>
    <row r="97" spans="1:6" s="876" customFormat="1" ht="36">
      <c r="A97" s="880">
        <v>37</v>
      </c>
      <c r="B97" s="3296"/>
      <c r="C97" s="880" t="s">
        <v>689</v>
      </c>
      <c r="D97" s="816" t="s">
        <v>690</v>
      </c>
      <c r="E97" s="893">
        <v>0.2</v>
      </c>
      <c r="F97" s="880">
        <v>30</v>
      </c>
    </row>
    <row r="98" spans="1:6" s="876" customFormat="1" ht="36">
      <c r="A98" s="880">
        <v>38</v>
      </c>
      <c r="B98" s="3296"/>
      <c r="C98" s="880" t="s">
        <v>691</v>
      </c>
      <c r="D98" s="816" t="s">
        <v>692</v>
      </c>
      <c r="E98" s="893">
        <v>0.2</v>
      </c>
      <c r="F98" s="880">
        <v>30</v>
      </c>
    </row>
    <row r="99" spans="1:6" s="876" customFormat="1" ht="36">
      <c r="A99" s="880">
        <v>39</v>
      </c>
      <c r="B99" s="3296" t="s">
        <v>693</v>
      </c>
      <c r="C99" s="880" t="s">
        <v>694</v>
      </c>
      <c r="D99" s="816" t="s">
        <v>695</v>
      </c>
      <c r="E99" s="893">
        <v>0.3</v>
      </c>
      <c r="F99" s="880">
        <v>50</v>
      </c>
    </row>
    <row r="100" spans="1:6" s="876" customFormat="1" ht="24">
      <c r="A100" s="880">
        <v>40</v>
      </c>
      <c r="B100" s="3296"/>
      <c r="C100" s="880" t="s">
        <v>696</v>
      </c>
      <c r="D100" s="816" t="s">
        <v>697</v>
      </c>
      <c r="E100" s="893">
        <v>0.2</v>
      </c>
      <c r="F100" s="880">
        <v>30</v>
      </c>
    </row>
    <row r="101" spans="1:6" s="876" customFormat="1" ht="36">
      <c r="A101" s="880">
        <v>41</v>
      </c>
      <c r="B101" s="329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6" t="s">
        <v>708</v>
      </c>
      <c r="C105" s="880" t="s">
        <v>709</v>
      </c>
      <c r="D105" s="816" t="s">
        <v>710</v>
      </c>
      <c r="E105" s="893">
        <v>0.2</v>
      </c>
      <c r="F105" s="880">
        <v>30</v>
      </c>
    </row>
    <row r="106" spans="1:6" s="876" customFormat="1" ht="36">
      <c r="A106" s="880">
        <v>46</v>
      </c>
      <c r="B106" s="3296"/>
      <c r="C106" s="880" t="s">
        <v>711</v>
      </c>
      <c r="D106" s="816" t="s">
        <v>712</v>
      </c>
      <c r="E106" s="893">
        <v>0.2</v>
      </c>
      <c r="F106" s="880">
        <v>30</v>
      </c>
    </row>
    <row r="107" spans="1:6" s="876" customFormat="1" ht="36">
      <c r="A107" s="880">
        <v>47</v>
      </c>
      <c r="B107" s="3296" t="s">
        <v>713</v>
      </c>
      <c r="C107" s="880" t="s">
        <v>714</v>
      </c>
      <c r="D107" s="816" t="s">
        <v>715</v>
      </c>
      <c r="E107" s="893">
        <v>0.3</v>
      </c>
      <c r="F107" s="880">
        <v>50</v>
      </c>
    </row>
    <row r="108" spans="1:6" s="876" customFormat="1" ht="36">
      <c r="A108" s="880">
        <v>48</v>
      </c>
      <c r="B108" s="329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6" t="s">
        <v>724</v>
      </c>
      <c r="C111" s="880" t="s">
        <v>725</v>
      </c>
      <c r="D111" s="816" t="s">
        <v>726</v>
      </c>
      <c r="E111" s="893">
        <v>0.2</v>
      </c>
      <c r="F111" s="880">
        <v>30</v>
      </c>
    </row>
    <row r="112" spans="1:6" s="876" customFormat="1" ht="24">
      <c r="A112" s="880">
        <v>52</v>
      </c>
      <c r="B112" s="3296"/>
      <c r="C112" s="880" t="s">
        <v>727</v>
      </c>
      <c r="D112" s="816" t="s">
        <v>728</v>
      </c>
      <c r="E112" s="893">
        <v>0.2</v>
      </c>
      <c r="F112" s="880">
        <v>30</v>
      </c>
    </row>
    <row r="113" spans="1:6" s="876" customFormat="1" ht="24">
      <c r="A113" s="880">
        <v>53</v>
      </c>
      <c r="B113" s="329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6" t="s">
        <v>737</v>
      </c>
      <c r="C116" s="880" t="s">
        <v>738</v>
      </c>
      <c r="D116" s="816" t="s">
        <v>739</v>
      </c>
      <c r="E116" s="893">
        <v>0.2</v>
      </c>
      <c r="F116" s="880">
        <v>30</v>
      </c>
    </row>
    <row r="117" spans="1:6" ht="36">
      <c r="A117" s="880">
        <v>57</v>
      </c>
      <c r="B117" s="329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2" t="s">
        <v>1150</v>
      </c>
      <c r="C1" s="3302"/>
      <c r="D1" s="3302"/>
      <c r="E1" s="3302"/>
      <c r="F1" s="3302"/>
      <c r="G1" s="3301" t="s">
        <v>1151</v>
      </c>
      <c r="H1" s="3301"/>
      <c r="I1" s="3301"/>
      <c r="J1" s="3301"/>
      <c r="K1" s="3301"/>
      <c r="L1" s="3301"/>
      <c r="N1" s="3301" t="s">
        <v>1152</v>
      </c>
      <c r="O1" s="3301"/>
      <c r="P1" s="3301"/>
      <c r="Q1" s="3301"/>
      <c r="R1" s="1447"/>
      <c r="S1" s="3301" t="s">
        <v>1153</v>
      </c>
      <c r="T1" s="3301"/>
      <c r="U1" s="3301"/>
      <c r="V1" s="3301"/>
      <c r="X1" s="3300" t="s">
        <v>1154</v>
      </c>
      <c r="Y1" s="3301"/>
      <c r="Z1" s="3301"/>
      <c r="AA1" s="3301"/>
      <c r="AB1" s="3301"/>
      <c r="AD1" s="3300" t="s">
        <v>1155</v>
      </c>
      <c r="AE1" s="3301"/>
      <c r="AF1" s="3301"/>
      <c r="AG1" s="3301"/>
      <c r="AH1" s="330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3039</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1.2557</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1.2800000000000001E-2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3">
        <v>2018</v>
      </c>
      <c r="H5" s="1730">
        <v>3</v>
      </c>
      <c r="I5" s="2926">
        <v>0</v>
      </c>
      <c r="J5" s="2926">
        <v>0</v>
      </c>
      <c r="K5" s="2926">
        <v>0</v>
      </c>
      <c r="L5" s="2926">
        <v>0</v>
      </c>
      <c r="N5" s="1468">
        <f>I5/100</f>
        <v>0</v>
      </c>
      <c r="O5" s="1468">
        <f t="shared" ref="O5" si="7">J5/100</f>
        <v>0</v>
      </c>
      <c r="P5" s="1468">
        <f t="shared" ref="P5" si="8">K5/100</f>
        <v>0</v>
      </c>
      <c r="Q5" s="1468">
        <f t="shared" ref="Q5" si="9">L5/100</f>
        <v>0</v>
      </c>
      <c r="R5" s="1732"/>
      <c r="S5" s="1733"/>
      <c r="T5" s="1732"/>
      <c r="U5" s="1732"/>
      <c r="V5" s="1732"/>
      <c r="W5" s="2930" t="s">
        <v>3040</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9">
        <f>ROUND(AVERAGE(I5:I$23)/100,4)</f>
        <v>2.1499999999999998E-2</v>
      </c>
      <c r="AE5" s="1469">
        <f>ROUND(AVERAGE(J5:J$23)/100,4)</f>
        <v>1.49E-2</v>
      </c>
      <c r="AF5" s="1469">
        <f t="shared" ref="AF5" si="11">AE5</f>
        <v>1.49E-2</v>
      </c>
      <c r="AG5" s="1469">
        <f>ROUND(AVERAGE(K5:K$23)/100,4)</f>
        <v>2.3699999999999999E-2</v>
      </c>
      <c r="AH5" s="1469">
        <f>ROUND(AVERAGE(L5:L$23)/100,4)</f>
        <v>1.2800000000000001E-2</v>
      </c>
    </row>
    <row r="6" spans="1:34" s="1467" customFormat="1" ht="13.5" thickBot="1">
      <c r="A6" s="1462" t="s">
        <v>3047</v>
      </c>
      <c r="B6" s="1478">
        <f t="shared" ref="B6" si="12">B7*(1+N6)</f>
        <v>446.46299999999997</v>
      </c>
      <c r="C6" s="1478">
        <f t="shared" ref="C6" si="13">C7*(1+O6)</f>
        <v>333.27840000000003</v>
      </c>
      <c r="D6" s="1478">
        <f t="shared" ref="D6" si="14">C6</f>
        <v>333.27840000000003</v>
      </c>
      <c r="E6" s="1478">
        <f t="shared" ref="E6" si="15">E7*(1+P6)</f>
        <v>637.28279999999995</v>
      </c>
      <c r="F6" s="1478">
        <f t="shared" ref="F6" si="16">F7*(1+Q6)</f>
        <v>288.68830000000003</v>
      </c>
      <c r="G6" s="2941"/>
      <c r="H6" s="1465">
        <v>2</v>
      </c>
      <c r="I6" s="1465">
        <v>0</v>
      </c>
      <c r="J6" s="1465">
        <v>0</v>
      </c>
      <c r="K6" s="1465">
        <v>0</v>
      </c>
      <c r="L6" s="1479">
        <v>0</v>
      </c>
      <c r="M6" s="1472"/>
      <c r="N6" s="1473">
        <f t="shared" ref="N6" si="17">I6/100</f>
        <v>0</v>
      </c>
      <c r="O6" s="1474">
        <f t="shared" ref="O6" si="18">J6/100</f>
        <v>0</v>
      </c>
      <c r="P6" s="1474">
        <f t="shared" ref="P6" si="19">K6/100</f>
        <v>0</v>
      </c>
      <c r="Q6" s="1474">
        <f t="shared" ref="Q6" si="20">L6/100</f>
        <v>0</v>
      </c>
      <c r="R6" s="1475"/>
      <c r="S6" s="1473"/>
      <c r="T6" s="1474"/>
      <c r="U6" s="1474"/>
      <c r="V6" s="1474"/>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7" customFormat="1" ht="13.5" thickBot="1">
      <c r="A7" s="1462" t="s">
        <v>3038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1"/>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3035</v>
      </c>
      <c r="B8" s="1470">
        <v>439</v>
      </c>
      <c r="C8" s="1470">
        <v>327</v>
      </c>
      <c r="D8" s="1470">
        <f>C8</f>
        <v>327</v>
      </c>
      <c r="E8" s="1470">
        <v>627</v>
      </c>
      <c r="F8" s="1471">
        <v>283</v>
      </c>
      <c r="G8" s="2928">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4"/>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3"/>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4"/>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03">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98"/>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98"/>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99"/>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97">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98"/>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98"/>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99"/>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97">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98"/>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98"/>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99"/>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304">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05"/>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05"/>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06"/>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97">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98"/>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98"/>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99"/>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97">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98">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98">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99">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97">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98">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98">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99">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97">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98">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98">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99">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97">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98">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98">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99">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97">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98">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98">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99">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97">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98">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98">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99">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97">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98">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98">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99">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97">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98">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98">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99">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97">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98">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98">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99">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97">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98">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98">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99">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5" t="s">
        <v>3006</v>
      </c>
      <c r="C1" s="3308" t="s">
        <v>3007</v>
      </c>
      <c r="D1" s="3309"/>
      <c r="E1" s="3309"/>
      <c r="F1" s="3309"/>
      <c r="G1" s="3309"/>
      <c r="H1" s="3309"/>
      <c r="I1" s="3309"/>
      <c r="J1" s="3309"/>
      <c r="K1" s="3309"/>
      <c r="L1" s="3309"/>
      <c r="M1" s="3309"/>
      <c r="N1" s="3309"/>
      <c r="O1" s="3309"/>
      <c r="P1" s="3309"/>
      <c r="Q1" s="3309"/>
      <c r="R1" s="3309"/>
      <c r="S1" s="3310"/>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9" t="s">
        <v>3010</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0" t="s">
        <v>3011</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0" t="s">
        <v>3012</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9"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9"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9"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3016</v>
      </c>
      <c r="B17" s="2919"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20" t="s">
        <v>3018</v>
      </c>
      <c r="E19" s="1792"/>
      <c r="F19" s="1792"/>
      <c r="G19" s="1792"/>
      <c r="H19" s="1281"/>
      <c r="I19" s="168"/>
      <c r="J19" s="168"/>
      <c r="K19" s="168"/>
      <c r="L19" s="168"/>
      <c r="M19" s="168"/>
      <c r="N19" s="168"/>
      <c r="O19" s="168"/>
      <c r="P19" s="168"/>
      <c r="Q19" s="168"/>
      <c r="R19" s="787"/>
      <c r="S19" s="138"/>
    </row>
    <row r="20" spans="1:45" ht="16.5" thickBot="1">
      <c r="A20" s="714" t="s">
        <v>3019</v>
      </c>
      <c r="B20" s="337" t="e">
        <f ca="1">IF(D20="——",S22,S22-F20)</f>
        <v>#REF!</v>
      </c>
      <c r="C20" s="168"/>
      <c r="D20" s="2921" t="s">
        <v>3020</v>
      </c>
      <c r="E20" s="1793"/>
      <c r="F20" s="1205" t="e">
        <f ca="1">SUMIF(INDIRECT("'"&amp;H20&amp;"'"&amp;"!A:A"),"承租人权益价值",INDIRECT("'"&amp;H20&amp;"'"&amp;"!c:c"))</f>
        <v>#REF!</v>
      </c>
      <c r="G20" s="1205" t="s">
        <v>3021</v>
      </c>
      <c r="H20" s="2922"/>
      <c r="I20" s="168"/>
      <c r="J20" s="168"/>
      <c r="K20" s="168"/>
      <c r="L20" s="168"/>
      <c r="M20" s="168"/>
      <c r="N20" s="168"/>
      <c r="O20" s="168"/>
      <c r="P20" s="168"/>
      <c r="Q20" s="168"/>
      <c r="R20" s="787"/>
      <c r="S20" s="138"/>
    </row>
    <row r="21" spans="1:45" ht="15.75">
      <c r="A21" s="714" t="s">
        <v>3022</v>
      </c>
      <c r="B21" s="337">
        <f>R22</f>
        <v>10000</v>
      </c>
      <c r="C21" s="168"/>
      <c r="D21" s="168"/>
      <c r="E21" s="168"/>
      <c r="F21" s="168"/>
      <c r="G21" s="168"/>
      <c r="H21" s="168"/>
      <c r="I21" s="168"/>
      <c r="J21" s="168"/>
      <c r="K21" s="168"/>
      <c r="L21" s="168"/>
      <c r="M21" s="168"/>
      <c r="N21" s="168"/>
      <c r="O21" s="168"/>
      <c r="P21" s="168"/>
      <c r="Q21" s="168"/>
      <c r="R21" s="787"/>
      <c r="S21" s="138"/>
    </row>
    <row r="22" spans="1:45">
      <c r="A22" s="360" t="s">
        <v>3023</v>
      </c>
      <c r="B22" s="24">
        <f>SUM(B24:B10000)</f>
        <v>100</v>
      </c>
      <c r="C22" s="3170" t="s">
        <v>33</v>
      </c>
      <c r="D22" s="3171"/>
      <c r="E22" s="3171"/>
      <c r="F22" s="3171"/>
      <c r="G22" s="3171"/>
      <c r="H22" s="3171"/>
      <c r="I22" s="3171"/>
      <c r="J22" s="3171"/>
      <c r="K22" s="3171"/>
      <c r="L22" s="3171"/>
      <c r="M22" s="3171"/>
      <c r="N22" s="3171"/>
      <c r="O22" s="3171"/>
      <c r="P22" s="3171"/>
      <c r="Q22" s="3307"/>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145568</v>
      </c>
      <c r="C2" s="2" t="s">
        <v>133</v>
      </c>
      <c r="D2" s="242"/>
      <c r="E2" s="242"/>
      <c r="F2" s="242"/>
      <c r="G2" s="242"/>
    </row>
    <row r="3" spans="1:7" s="243" customFormat="1" ht="18" customHeight="1" thickBot="1">
      <c r="A3" s="246" t="s">
        <v>85</v>
      </c>
      <c r="B3" s="247">
        <f ca="1">ROUND(B2*10000/'数据-汇总表'!E3,0)</f>
        <v>8760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3324</v>
      </c>
      <c r="D10" s="1033">
        <f>'数据-汇总表'!E6</f>
        <v>166180.56000000003</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3324</v>
      </c>
      <c r="D19" s="1037">
        <f>'数据-汇总表'!E3</f>
        <v>166180.56000000003</v>
      </c>
      <c r="E19" s="254">
        <f>'数据-取费表'!B31</f>
        <v>200</v>
      </c>
      <c r="F19" s="274"/>
      <c r="G19" s="1" t="s">
        <v>1074</v>
      </c>
    </row>
    <row r="20" spans="1:7" s="257" customFormat="1" ht="13.5" customHeight="1">
      <c r="A20" s="949" t="s">
        <v>1057</v>
      </c>
      <c r="B20" s="253" t="s">
        <v>104</v>
      </c>
      <c r="C20" s="275">
        <f>ROUND((C5+C19)*F20,0)</f>
        <v>479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2350</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323</v>
      </c>
      <c r="D24" s="281"/>
      <c r="E24" s="281"/>
      <c r="F24" s="282"/>
      <c r="G24" s="283" t="s">
        <v>109</v>
      </c>
    </row>
    <row r="25" spans="1:7" s="257" customFormat="1" ht="24">
      <c r="A25" s="952" t="s">
        <v>793</v>
      </c>
      <c r="B25" s="258" t="s">
        <v>1058</v>
      </c>
      <c r="C25" s="1356">
        <f ca="1">ROUND(IF('数据-取费表'!B22&lt;=1,C20*F22*'数据-取费表'!B23/2,C20*(POWER((1+F22),'数据-取费表'!B23/2)-1)),0)</f>
        <v>23</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3906</v>
      </c>
      <c r="D27" s="278">
        <f>C29</f>
        <v>3.2000000000000002E-3</v>
      </c>
      <c r="E27" s="279" t="s">
        <v>126</v>
      </c>
      <c r="F27" s="289">
        <f>'数据-取费表'!Q16</f>
        <v>0.16</v>
      </c>
      <c r="G27" s="290" t="s">
        <v>1069</v>
      </c>
    </row>
    <row r="28" spans="1:7" s="257" customFormat="1" ht="13.5" customHeight="1">
      <c r="A28" s="952" t="s">
        <v>794</v>
      </c>
      <c r="B28" s="291" t="s">
        <v>1062</v>
      </c>
      <c r="C28" s="292">
        <f>ROUND((C5+C19+C20)*F27*'数据-取费表'!B21/'数据-取费表'!B20,0)</f>
        <v>3906</v>
      </c>
      <c r="D28" s="278"/>
      <c r="E28" s="279"/>
      <c r="F28" s="289"/>
      <c r="G28" s="290"/>
    </row>
    <row r="29" spans="1:7" s="257" customFormat="1" ht="13.5" customHeight="1">
      <c r="A29" s="952" t="s">
        <v>792</v>
      </c>
      <c r="B29" s="291" t="s">
        <v>1063</v>
      </c>
      <c r="C29" s="281">
        <f>ROUND(C21*F27*'数据-取费表'!B21/'数据-取费表'!B20,4)</f>
        <v>3.2000000000000002E-3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33247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98971</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91528</v>
      </c>
      <c r="D34" s="260"/>
      <c r="E34" s="263"/>
      <c r="F34" s="300">
        <f>IF('数据-取费表'!B24=0,1,'数据-取费表'!N16)</f>
        <v>1</v>
      </c>
      <c r="G34" s="262" t="s">
        <v>116</v>
      </c>
    </row>
    <row r="35" spans="1:7" ht="13.5" customHeight="1">
      <c r="A35" s="952" t="s">
        <v>796</v>
      </c>
      <c r="B35" s="258" t="s">
        <v>60</v>
      </c>
      <c r="C35" s="263">
        <f>ROUND(C34*F35,0)</f>
        <v>2746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3324</v>
      </c>
      <c r="D37" s="260">
        <f>'数据-汇总表'!E3</f>
        <v>166180.56000000003</v>
      </c>
      <c r="E37" s="292">
        <f>'数据-取费表'!B35</f>
        <v>200</v>
      </c>
      <c r="F37" s="302"/>
      <c r="G37" s="304" t="s">
        <v>119</v>
      </c>
    </row>
    <row r="38" spans="1:7" ht="13.5" customHeight="1">
      <c r="A38" s="952" t="s">
        <v>799</v>
      </c>
      <c r="B38" s="258" t="s">
        <v>63</v>
      </c>
      <c r="C38" s="263">
        <f>ROUND(C34*F38,0)</f>
        <v>1373</v>
      </c>
      <c r="D38" s="263"/>
      <c r="E38" s="263"/>
      <c r="F38" s="302">
        <f>'数据-取费表'!B36</f>
        <v>1.4999999999999999E-2</v>
      </c>
      <c r="G38" s="262" t="s">
        <v>117</v>
      </c>
    </row>
    <row r="39" spans="1:7" s="257" customFormat="1" ht="13.5" customHeight="1">
      <c r="A39" s="949" t="s">
        <v>783</v>
      </c>
      <c r="B39" s="253" t="s">
        <v>104</v>
      </c>
      <c r="C39" s="275">
        <f>ROUND(C33*F20,0)</f>
        <v>1979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4795</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4701</v>
      </c>
      <c r="D42" s="281"/>
      <c r="E42" s="281"/>
      <c r="F42" s="282"/>
      <c r="G42" s="3175" t="s">
        <v>121</v>
      </c>
    </row>
    <row r="43" spans="1:7" ht="13.5" customHeight="1">
      <c r="A43" s="952" t="s">
        <v>792</v>
      </c>
      <c r="B43" s="258" t="s">
        <v>1064</v>
      </c>
      <c r="C43" s="281">
        <f ca="1">ROUND(IF('数据-取费表'!B22&lt;=1,C39*F22*'数据-取费表'!B21/2,C39*(POWER((1+F22),'数据-取费表'!B21/2)-1)),0)</f>
        <v>94</v>
      </c>
      <c r="D43" s="281"/>
      <c r="E43" s="281"/>
      <c r="F43" s="282"/>
      <c r="G43" s="3176"/>
    </row>
    <row r="44" spans="1:7" ht="13.5" customHeight="1">
      <c r="A44" s="952" t="s">
        <v>793</v>
      </c>
      <c r="B44" s="258" t="s">
        <v>1066</v>
      </c>
      <c r="C44" s="281">
        <f ca="1">ROUND(IF('数据-取费表'!B22&lt;=1,C40*F22*'数据-取费表'!B21/2,C40*(POWER((1+F22),'数据-取费表'!B21/2)-1)),4)</f>
        <v>1E-3</v>
      </c>
      <c r="D44" s="281"/>
      <c r="E44" s="281"/>
      <c r="F44" s="282"/>
      <c r="G44" s="3177"/>
    </row>
    <row r="45" spans="1:7" s="257" customFormat="1" ht="13.5" customHeight="1">
      <c r="A45" s="949" t="s">
        <v>786</v>
      </c>
      <c r="B45" s="287" t="s">
        <v>112</v>
      </c>
      <c r="C45" s="288">
        <f>C46</f>
        <v>16152</v>
      </c>
      <c r="D45" s="278">
        <f>C47</f>
        <v>3.2000000000000002E-3</v>
      </c>
      <c r="E45" s="279" t="s">
        <v>129</v>
      </c>
      <c r="F45" s="289"/>
      <c r="G45" s="290" t="s">
        <v>1072</v>
      </c>
    </row>
    <row r="46" spans="1:7" s="257" customFormat="1" ht="13.5" customHeight="1">
      <c r="A46" s="952" t="s">
        <v>794</v>
      </c>
      <c r="B46" s="291" t="s">
        <v>1065</v>
      </c>
      <c r="C46" s="292">
        <f>ROUND((C33+C39)*F27,0)</f>
        <v>16152</v>
      </c>
      <c r="D46" s="306"/>
      <c r="E46" s="279"/>
      <c r="F46" s="289"/>
      <c r="G46" s="290"/>
    </row>
    <row r="47" spans="1:7" s="257" customFormat="1" ht="13.5" customHeight="1">
      <c r="A47" s="952" t="s">
        <v>792</v>
      </c>
      <c r="B47" s="291" t="s">
        <v>1067</v>
      </c>
      <c r="C47" s="281">
        <f>ROUND(C40*F27,4)</f>
        <v>3.2000000000000002E-3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132142</v>
      </c>
      <c r="D49" s="275"/>
      <c r="E49" s="275"/>
      <c r="F49" s="307"/>
      <c r="G49" s="277" t="s">
        <v>1073</v>
      </c>
    </row>
    <row r="50" spans="1:7" s="301" customFormat="1" ht="24">
      <c r="A50" s="949" t="s">
        <v>789</v>
      </c>
      <c r="B50" s="253" t="s">
        <v>124</v>
      </c>
      <c r="C50" s="275"/>
      <c r="D50" s="275"/>
      <c r="E50" s="275"/>
      <c r="F50" s="307">
        <f>IF('数据-取费表'!B24=0,'数据-取费表'!N16,1)</f>
        <v>0.85</v>
      </c>
      <c r="G50" s="290" t="s">
        <v>125</v>
      </c>
    </row>
    <row r="51" spans="1:7" ht="16.5" customHeight="1">
      <c r="A51" s="949" t="s">
        <v>790</v>
      </c>
      <c r="B51" s="253" t="s">
        <v>132</v>
      </c>
      <c r="C51" s="275">
        <f ca="1">ROUND(C49*F50,0)</f>
        <v>112321</v>
      </c>
      <c r="D51" s="275"/>
      <c r="E51" s="275"/>
      <c r="F51" s="307"/>
      <c r="G51" s="277" t="s">
        <v>64</v>
      </c>
    </row>
    <row r="52" spans="1:7" s="251" customFormat="1" ht="16.5" thickBot="1">
      <c r="A52" s="308" t="s">
        <v>65</v>
      </c>
      <c r="B52" s="309"/>
      <c r="C52" s="310">
        <f ca="1">C31+C51</f>
        <v>145568</v>
      </c>
      <c r="D52" s="309"/>
      <c r="E52" s="309"/>
      <c r="F52" s="309"/>
      <c r="G52" s="311"/>
    </row>
    <row r="55" spans="1:7" ht="15">
      <c r="B55" s="313" t="s">
        <v>66</v>
      </c>
      <c r="C55" s="314"/>
    </row>
    <row r="56" spans="1:7">
      <c r="B56" s="316" t="s">
        <v>67</v>
      </c>
      <c r="C56" s="317">
        <f ca="1">ROUND(C51/C52,3)</f>
        <v>0.77200000000000002</v>
      </c>
    </row>
    <row r="57" spans="1:7">
      <c r="B57" s="316" t="s">
        <v>68</v>
      </c>
      <c r="C57" s="318">
        <f ca="1">1-C56</f>
        <v>0.22799999999999998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871</v>
      </c>
      <c r="B1" s="331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43468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结果表!D116</f>
        <v>出让国有建设用地使用权价值</v>
      </c>
      <c r="E2" s="3010"/>
      <c r="F2" s="3010" t="str">
        <f>结果表!F116</f>
        <v>建筑物价值</v>
      </c>
      <c r="G2" s="3010"/>
      <c r="H2" s="3010" t="str">
        <f>IF(项目基本情况!B9="房地产市场价值","房地产市场价值","房地产价值")</f>
        <v>房地产价值</v>
      </c>
      <c r="I2" s="3010"/>
    </row>
    <row r="3" spans="1:9" ht="15">
      <c r="A3" s="3004"/>
      <c r="B3" s="3004"/>
      <c r="C3" s="3004"/>
      <c r="D3" s="1045" t="s">
        <v>1638</v>
      </c>
      <c r="E3" s="1045" t="s">
        <v>1644</v>
      </c>
      <c r="F3" s="1045" t="s">
        <v>1638</v>
      </c>
      <c r="G3" s="1045" t="s">
        <v>1639</v>
      </c>
      <c r="H3" s="1045" t="s">
        <v>1638</v>
      </c>
      <c r="I3" s="1045" t="s">
        <v>1639</v>
      </c>
    </row>
    <row r="4" spans="1:9" ht="15">
      <c r="A4" s="1973" t="str">
        <f>项目基本情况!S2</f>
        <v>北京市房地产</v>
      </c>
      <c r="B4" s="1045">
        <f>项目基本情况!C17</f>
        <v>166180.56000000003</v>
      </c>
      <c r="C4" s="1045">
        <f>项目基本情况!C18</f>
        <v>14707</v>
      </c>
      <c r="D4" s="1045">
        <f ca="1">结果表!D118</f>
        <v>641546</v>
      </c>
      <c r="E4" s="1045">
        <f ca="1">结果表!E118</f>
        <v>38605</v>
      </c>
      <c r="F4" s="1045">
        <f ca="1">结果表!F118</f>
        <v>214172</v>
      </c>
      <c r="G4" s="1045">
        <f ca="1">结果表!G118</f>
        <v>12888</v>
      </c>
      <c r="H4" s="1045">
        <f ca="1">结果表!H118</f>
        <v>855718</v>
      </c>
      <c r="I4" s="1045">
        <f ca="1">结果表!I118</f>
        <v>51493</v>
      </c>
    </row>
    <row r="5" spans="1:9" ht="30" customHeight="1">
      <c r="A5" s="3004" t="s">
        <v>1640</v>
      </c>
      <c r="B5" s="3004"/>
      <c r="C5" s="3004"/>
      <c r="D5" s="3005" t="str">
        <f ca="1">结果表!D119</f>
        <v>陆拾肆亿壹仟伍佰肆拾陆万元整</v>
      </c>
      <c r="E5" s="3005"/>
      <c r="F5" s="3005" t="str">
        <f ca="1">结果表!F119</f>
        <v>贰拾壹亿肆仟壹佰柒拾贰万元整</v>
      </c>
      <c r="G5" s="3005"/>
      <c r="H5" s="3005" t="str">
        <f ca="1">结果表!H119</f>
        <v>捌拾伍亿伍仟柒佰壹拾捌万元整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1640</v>
      </c>
      <c r="B7" s="3004"/>
      <c r="C7" s="3004"/>
      <c r="D7" s="3006" t="str">
        <f>结果表!D121</f>
        <v>零元整</v>
      </c>
      <c r="E7" s="3007"/>
      <c r="F7" s="3007"/>
      <c r="G7" s="3007"/>
      <c r="H7" s="3007"/>
      <c r="I7" s="3008"/>
    </row>
    <row r="8" spans="1:9" ht="15.75">
      <c r="A8" s="3003" t="str">
        <f>结果表!A122</f>
        <v>房地产抵押价值</v>
      </c>
      <c r="B8" s="3003"/>
      <c r="C8" s="3003"/>
      <c r="D8" s="3003">
        <f ca="1">结果表!D122</f>
        <v>855718</v>
      </c>
      <c r="E8" s="3003"/>
      <c r="F8" s="3003"/>
      <c r="G8" s="3003"/>
      <c r="H8" s="3003"/>
      <c r="I8" s="3003"/>
    </row>
    <row r="9" spans="1:9" ht="15">
      <c r="A9" s="3004" t="s">
        <v>1640</v>
      </c>
      <c r="B9" s="3004"/>
      <c r="C9" s="3004"/>
      <c r="D9" s="3005" t="str">
        <f ca="1">结果表!D123</f>
        <v>捌拾伍亿伍仟柒佰壹拾捌万元整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1640</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44" sqref="C44"/>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7" t="s">
        <v>1662</v>
      </c>
      <c r="B1" s="3017"/>
      <c r="C1" s="3017"/>
      <c r="D1" s="3017"/>
    </row>
    <row r="2" spans="1:4" ht="18">
      <c r="A2" s="3018" t="s">
        <v>1646</v>
      </c>
      <c r="B2" s="3018"/>
      <c r="C2" s="3018"/>
      <c r="D2" s="3018"/>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崔锴</v>
      </c>
      <c r="B5" s="1979">
        <f ca="1">项目基本情况!E4</f>
        <v>1120100036</v>
      </c>
      <c r="C5" s="1982"/>
      <c r="D5" s="1981" t="s">
        <v>1651</v>
      </c>
    </row>
    <row r="6" spans="1:4" ht="18">
      <c r="A6" s="3018" t="s">
        <v>1652</v>
      </c>
      <c r="B6" s="3018"/>
      <c r="C6" s="3018"/>
      <c r="D6" s="3018"/>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19"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1656</v>
      </c>
      <c r="B16" s="3013"/>
      <c r="C16" s="3013"/>
      <c r="D16" s="3013"/>
    </row>
    <row r="17" spans="1:4" ht="144" customHeight="1">
      <c r="A17" s="3013" t="s">
        <v>1657</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1658</v>
      </c>
      <c r="B22" s="3015"/>
      <c r="C22" s="3015"/>
      <c r="D22" s="301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5" t="s">
        <v>1669</v>
      </c>
      <c r="B15" s="3020" t="s">
        <v>136</v>
      </c>
      <c r="C15" s="3021"/>
    </row>
    <row r="16" spans="1:7" ht="13.5">
      <c r="A16" s="3026"/>
      <c r="B16" s="3020" t="s">
        <v>69</v>
      </c>
      <c r="C16" s="3021"/>
    </row>
    <row r="17" spans="1:3" ht="13.5">
      <c r="A17" s="3026"/>
      <c r="B17" s="3023" t="s">
        <v>1670</v>
      </c>
      <c r="C17" s="2000" t="s">
        <v>1669</v>
      </c>
    </row>
    <row r="18" spans="1:3" ht="13.5">
      <c r="A18" s="3026"/>
      <c r="B18" s="3023"/>
      <c r="C18" s="2000" t="s">
        <v>1671</v>
      </c>
    </row>
    <row r="19" spans="1:3" ht="13.5">
      <c r="A19" s="3026"/>
      <c r="B19" s="3023"/>
      <c r="C19" s="2000" t="s">
        <v>1672</v>
      </c>
    </row>
    <row r="20" spans="1:3" ht="13.5">
      <c r="A20" s="3027"/>
      <c r="B20" s="3022" t="s">
        <v>1673</v>
      </c>
      <c r="C20" s="3021"/>
    </row>
    <row r="21" spans="1:3" ht="13.5">
      <c r="A21" s="2001" t="s">
        <v>1674</v>
      </c>
      <c r="B21" s="2002"/>
      <c r="C21" s="2003"/>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2000" t="s">
        <v>1680</v>
      </c>
    </row>
    <row r="26" spans="1:3" ht="13.5">
      <c r="A26" s="3024"/>
      <c r="B26" s="3023"/>
      <c r="C26" s="2000" t="s">
        <v>1681</v>
      </c>
    </row>
    <row r="27" spans="1:3" ht="13.5">
      <c r="A27" s="3024"/>
      <c r="B27" s="3023"/>
      <c r="C27" s="2000" t="s">
        <v>1682</v>
      </c>
    </row>
    <row r="28" spans="1:3" ht="13.5">
      <c r="A28" s="3024"/>
      <c r="B28" s="3023"/>
      <c r="C28" s="2000" t="s">
        <v>1683</v>
      </c>
    </row>
    <row r="29" spans="1:3" ht="13.5">
      <c r="A29" s="3024"/>
      <c r="B29" s="3023"/>
      <c r="C29" s="2000" t="s">
        <v>1684</v>
      </c>
    </row>
    <row r="30" spans="1:3" ht="13.5">
      <c r="A30" s="3024"/>
      <c r="B30" s="3023"/>
      <c r="C30" s="2000" t="s">
        <v>1685</v>
      </c>
    </row>
    <row r="31" spans="1:3" ht="13.5">
      <c r="A31" s="3024"/>
      <c r="B31" s="3023"/>
      <c r="C31" s="2000" t="s">
        <v>1686</v>
      </c>
    </row>
    <row r="32" spans="1:3" ht="13.5">
      <c r="A32" s="3024"/>
      <c r="B32" s="3023"/>
      <c r="C32" s="2000" t="s">
        <v>1687</v>
      </c>
    </row>
    <row r="33" spans="1:3" ht="13.5">
      <c r="A33" s="3024"/>
      <c r="B33" s="302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43472</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t="str">
        <f ca="1">IF(C7&lt;B2,"已过期",1120050019)</f>
        <v>已过期</v>
      </c>
      <c r="C7" s="2347">
        <v>43359</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f ca="1">IF(C10&lt;B2,"已过期",1120060040)</f>
        <v>1120060040</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t="s">
        <v>3045</v>
      </c>
      <c r="B12" s="1023">
        <v>1120110054</v>
      </c>
      <c r="C12" s="2942">
        <v>43937</v>
      </c>
      <c r="D12" s="1702" t="s">
        <v>3045</v>
      </c>
      <c r="E12" s="1023">
        <v>2008110060</v>
      </c>
      <c r="F12" s="1031">
        <v>47177</v>
      </c>
    </row>
    <row r="13" spans="1:6" ht="24" customHeight="1">
      <c r="A13" s="1702" t="s">
        <v>840</v>
      </c>
      <c r="B13" s="1023">
        <f ca="1">IF(C13&lt;B2,"已过期",1120070131)</f>
        <v>1120070131</v>
      </c>
      <c r="C13" s="2347">
        <v>43814</v>
      </c>
      <c r="D13" s="2350" t="s">
        <v>840</v>
      </c>
      <c r="E13" s="1023">
        <v>2014110011</v>
      </c>
      <c r="F13" s="1031">
        <v>49302</v>
      </c>
    </row>
    <row r="14" spans="1:6" ht="24" customHeight="1">
      <c r="A14" s="1702" t="s">
        <v>841</v>
      </c>
      <c r="B14" s="1023">
        <f ca="1">IF(C14&lt;B2,"已过期",1120130020)</f>
        <v>1120130020</v>
      </c>
      <c r="C14" s="2347">
        <v>43622</v>
      </c>
      <c r="D14" s="2350"/>
      <c r="E14" s="1023"/>
      <c r="F14" s="1023"/>
    </row>
    <row r="15" spans="1:6" ht="24" customHeight="1">
      <c r="A15" s="1703" t="s">
        <v>1149</v>
      </c>
      <c r="B15" s="1023">
        <v>1120070085</v>
      </c>
      <c r="C15" s="2347">
        <v>43814</v>
      </c>
      <c r="D15" s="2351" t="s">
        <v>1149</v>
      </c>
      <c r="E15" s="1023">
        <v>2004110128</v>
      </c>
      <c r="F15" s="1024">
        <v>47118</v>
      </c>
    </row>
    <row r="16" spans="1:6" ht="24" customHeight="1">
      <c r="A16" s="1702" t="s">
        <v>842</v>
      </c>
      <c r="B16" s="1023">
        <f ca="1">IF(C16&lt;B2,"已过期",1120140022)</f>
        <v>1120140022</v>
      </c>
      <c r="C16" s="2347">
        <v>44029</v>
      </c>
      <c r="D16" s="2350" t="s">
        <v>842</v>
      </c>
      <c r="E16" s="1023">
        <f ca="1">IF(F16&lt;B2,"已过期",2008110059)</f>
        <v>2008110059</v>
      </c>
      <c r="F16" s="1031">
        <v>47177</v>
      </c>
    </row>
    <row r="17" spans="1:7" ht="24" customHeight="1">
      <c r="A17" s="1702"/>
      <c r="B17" s="1023"/>
      <c r="C17" s="2347"/>
      <c r="D17" s="2350"/>
      <c r="E17" s="1023"/>
      <c r="F17" s="1031"/>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843</v>
      </c>
      <c r="E21" s="1023">
        <f ca="1">IF(F21&lt;B2,"已过期",2011110090)</f>
        <v>2011110090</v>
      </c>
      <c r="F21" s="1031">
        <v>48302</v>
      </c>
    </row>
    <row r="22" spans="1:7" ht="24" customHeight="1">
      <c r="A22" s="1702" t="s">
        <v>844</v>
      </c>
      <c r="B22" s="1023">
        <f ca="1">IF(C22&lt;B2,"已过期",1120020033)</f>
        <v>1120020033</v>
      </c>
      <c r="C22" s="2942">
        <v>44339</v>
      </c>
      <c r="D22" s="2350" t="s">
        <v>844</v>
      </c>
      <c r="E22" s="1023">
        <f ca="1">IF(F22&lt;B2,"已过期",2000110137)</f>
        <v>2000110137</v>
      </c>
      <c r="F22" s="1031">
        <v>46387</v>
      </c>
    </row>
    <row r="23" spans="1:7" ht="24" customHeight="1">
      <c r="A23" s="1702" t="s">
        <v>845</v>
      </c>
      <c r="B23" s="1023">
        <f ca="1">IF(C23&lt;B2,"已过期",1120130048)</f>
        <v>1120130048</v>
      </c>
      <c r="C23" s="2347">
        <v>43686</v>
      </c>
      <c r="D23" s="2350"/>
      <c r="E23" s="1023"/>
      <c r="F23" s="1023"/>
    </row>
    <row r="24" spans="1:7" s="1025" customFormat="1" ht="24" customHeight="1">
      <c r="A24" s="1703" t="s">
        <v>1333</v>
      </c>
      <c r="B24" s="1703" t="s">
        <v>1333</v>
      </c>
      <c r="C24" s="2348" t="s">
        <v>1333</v>
      </c>
      <c r="D24" s="2351" t="s">
        <v>1333</v>
      </c>
      <c r="E24" s="1703" t="s">
        <v>1333</v>
      </c>
      <c r="F24" s="1703" t="s">
        <v>1333</v>
      </c>
    </row>
    <row r="25" spans="1:7" ht="24" customHeight="1">
      <c r="A25" s="3028" t="s">
        <v>846</v>
      </c>
      <c r="B25" s="3028"/>
      <c r="C25" s="3028"/>
      <c r="D25" s="3028"/>
      <c r="E25" s="3028"/>
      <c r="F25" s="3028"/>
      <c r="G25" s="3028"/>
    </row>
    <row r="26" spans="1:7" s="1026" customFormat="1" ht="24" customHeight="1">
      <c r="A26" s="3029" t="s">
        <v>847</v>
      </c>
      <c r="B26" s="3029"/>
      <c r="C26" s="3030"/>
      <c r="D26" s="3031" t="s">
        <v>848</v>
      </c>
      <c r="E26" s="3029"/>
      <c r="F26" s="3029"/>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成本法</vt:lpstr>
      <vt:lpstr>成本法 (元)</vt:lpstr>
      <vt:lpstr>假设开发法</vt:lpstr>
      <vt:lpstr>比较法-商业</vt:lpstr>
      <vt:lpstr>比较法-办公</vt:lpstr>
      <vt:lpstr>案例</vt:lpstr>
      <vt:lpstr>Sheet6</vt:lpstr>
      <vt:lpstr>收益法（汇总）</vt:lpstr>
      <vt:lpstr>收益法（1层商业）</vt:lpstr>
      <vt:lpstr>收益法 (元)</vt:lpstr>
      <vt:lpstr>收益法 (地下商业)</vt:lpstr>
      <vt:lpstr>收益法 (办公)</vt:lpstr>
      <vt:lpstr>收益法 (地下车库)</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(办公)'!Print_Area</vt:lpstr>
      <vt:lpstr>'收益法 (地下车库)'!Print_Area</vt:lpstr>
      <vt:lpstr>'收益法 (地下商业)'!Print_Area</vt:lpstr>
      <vt:lpstr>'收益法 (元)'!Print_Area</vt:lpstr>
      <vt:lpstr>'收益法（1层商业）'!Print_Area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2019-01-07T02:16:36Z</dcterms:modified>
</cp:coreProperties>
</file>