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085" yWindow="15" windowWidth="14745" windowHeight="125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典型户型修正" sheetId="31" state="hidden" r:id="rId21"/>
    <sheet name="比较法-商业 (售价)" sheetId="85" r:id="rId22"/>
    <sheet name="收益法 (元)" sheetId="67" r:id="rId23"/>
    <sheet name="收益法" sheetId="15" state="hidden" r:id="rId24"/>
    <sheet name="收益法-酒店模型" sheetId="77" state="hidden" r:id="rId25"/>
    <sheet name="收益法（汇总）" sheetId="70"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 name="案例-办公" sheetId="86" r:id="rId47"/>
    <sheet name="位置及案例" sheetId="84" r:id="rId48"/>
    <sheet name="租约" sheetId="83" r:id="rId49"/>
    <sheet name="参考" sheetId="80" r:id="rId50"/>
  </sheets>
  <externalReferences>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 (售价)'!$A$1:$L$49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 (售价)'!$A$1:$K$54,'比较法-商业 (售价)'!$A$57:$M$131</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7">'[1]比较法-办公'!$B$119:$M$119</definedName>
    <definedName name="办公层高">'比较法-办公'!$B$119:$M$119</definedName>
    <definedName name="办公朝向" localSheetId="47">'[1]比较法-办公'!$B$91:$M$91</definedName>
    <definedName name="办公朝向">'比较法-办公'!$B$91:$M$91</definedName>
    <definedName name="办公道路级别" localSheetId="47">'[1]比较法-办公'!$B$87:$M$87</definedName>
    <definedName name="办公道路级别">'比较法-办公'!$B$87:$M$87</definedName>
    <definedName name="办公公共部分装修" localSheetId="47">'[1]比较法-办公'!$B$108:$M$108</definedName>
    <definedName name="办公公共部分装修">'比较法-办公'!$B$108:$M$108</definedName>
    <definedName name="办公基础设施水平" localSheetId="47">'[1]比较法-办公'!$B$117:$M$117</definedName>
    <definedName name="办公基础设施水平">'比较法-办公'!$B$117:$M$117</definedName>
    <definedName name="办公集聚程度" localSheetId="47">[1]定义!$M$1:$M$6</definedName>
    <definedName name="办公集聚程度">定义!$M$1:$M$6</definedName>
    <definedName name="办公建筑结构" localSheetId="47">'[1]比较法-办公'!$B$106:$M$106</definedName>
    <definedName name="办公建筑结构">'比较法-办公'!$B$106:$M$106</definedName>
    <definedName name="办公建筑类型" localSheetId="47">'[1]比较法-办公'!$B$101:$M$101</definedName>
    <definedName name="办公建筑类型">'比较法-办公'!$B$101:$M$101</definedName>
    <definedName name="办公交易情况" localSheetId="47">'[1]比较法-办公'!$A$62:$M$62</definedName>
    <definedName name="办公交易情况">'比较法-办公'!$A$62:$M$62</definedName>
    <definedName name="办公楼层" localSheetId="47">'[1]比较法-办公'!$B$89:$M$89</definedName>
    <definedName name="办公楼层">'比较法-办公'!$B$89:$M$89</definedName>
    <definedName name="办公内部装修" localSheetId="47">'[1]比较法-办公'!$B$123:$M$123</definedName>
    <definedName name="办公内部装修">'比较法-办公'!$B$123:$M$123</definedName>
    <definedName name="办公物业管理" localSheetId="47">'[1]比较法-办公'!$B$115:$M$115</definedName>
    <definedName name="办公物业管理">'比较法-办公'!$B$115:$M$115</definedName>
    <definedName name="办公用途" localSheetId="47">'[1]比较法-办公'!$B$64:$M$64</definedName>
    <definedName name="办公用途">'比较法-办公'!$B$64:$M$64</definedName>
    <definedName name="仓储公共部分装修" localSheetId="47">'[1]比较法-仓储'!$B$77:$M$77</definedName>
    <definedName name="仓储公共部分装修">'比较法-仓储'!$B$77:$M$77</definedName>
    <definedName name="仓储交易情况" localSheetId="47">'[1]比较法-仓储'!$A$49:$M$49</definedName>
    <definedName name="仓储交易情况">'比较法-仓储'!$A$49:$M$49</definedName>
    <definedName name="仓储楼层" localSheetId="47">'[1]比较法-仓储'!$B$69:$M$69</definedName>
    <definedName name="仓储楼层">'比较法-仓储'!$B$69:$M$69</definedName>
    <definedName name="仓储物业等级" localSheetId="47">'[1]比较法-仓储'!$B$82:$M$82</definedName>
    <definedName name="仓储物业等级">'比较法-仓储'!$B$82:$M$82</definedName>
    <definedName name="仓储用途" localSheetId="47">'[1]比较法-仓储'!$B$51:$M$51</definedName>
    <definedName name="仓储用途">'比较法-仓储'!$B$51:$M$51</definedName>
    <definedName name="产业集聚程度" localSheetId="47">[1]定义!$N$1:$N$6</definedName>
    <definedName name="产业集聚程度">定义!$N$1:$N$6</definedName>
    <definedName name="车位公共部分装修" localSheetId="47">'[1]比较法-车位'!$B$83:$M$83</definedName>
    <definedName name="车位公共部分装修">'比较法-车位'!$B$83:$M$83</definedName>
    <definedName name="车位交易情况" localSheetId="47">'[1]比较法-车位'!$A$51:$M$51</definedName>
    <definedName name="车位交易情况">'比较法-车位'!$A$51:$M$51</definedName>
    <definedName name="车位类型" localSheetId="47">'[1]比较法-车位'!$B$93:$M$93</definedName>
    <definedName name="车位类型">'比较法-车位'!$B$93:$M$93</definedName>
    <definedName name="车位楼层" localSheetId="47">'[1]比较法-车位'!$B$71:$M$71</definedName>
    <definedName name="车位楼层">'比较法-车位'!$B$71:$M$71</definedName>
    <definedName name="车位配套类型" localSheetId="47">'[1]比较法-车位'!$B$79:$M$79</definedName>
    <definedName name="车位配套类型">'比较法-车位'!$B$79:$M$79</definedName>
    <definedName name="车位物业等级" localSheetId="47">'[1]比较法-车位'!$B$88:$M$88</definedName>
    <definedName name="车位物业等级">'比较法-车位'!$B$88:$M$88</definedName>
    <definedName name="车位用途" localSheetId="47">'[1]比较法-车位'!$B$53:$M$53</definedName>
    <definedName name="车位用途">'比较法-车位'!$B$53:$M$53</definedName>
    <definedName name="城镇土地纳税等级分级范围" localSheetId="47">'[1]数据-取费表'!$A$53:$A$63</definedName>
    <definedName name="城镇土地纳税等级分级范围">'数据-取费表'!$A$53:$A$63</definedName>
    <definedName name="单价内涵" localSheetId="47">[1]定义!$V$1:$V$3</definedName>
    <definedName name="单价内涵">定义!$V$1:$V$3</definedName>
    <definedName name="地类判定" localSheetId="47">[1]定义!$H$1:$H$9</definedName>
    <definedName name="地类判定">定义!$H$1:$H$9</definedName>
    <definedName name="二级">区片价!$J$1:$J$21</definedName>
    <definedName name="二级分类" localSheetId="47">[1]修正!$C$19:$C$51</definedName>
    <definedName name="二级分类">修正!$C$19:$C$51</definedName>
    <definedName name="法定最高年限" localSheetId="47">[1]定义!$G$1:$G$6</definedName>
    <definedName name="法定最高年限">定义!$G$1:$G$6</definedName>
    <definedName name="工业公共部分装修" localSheetId="47">'[1]比较法-工业'!$B$95:$M$95</definedName>
    <definedName name="工业公共部分装修">'比较法-工业'!$B$95:$M$95</definedName>
    <definedName name="工业基础设施水平" localSheetId="47">'[1]比较法-工业'!$B$102:$M$102</definedName>
    <definedName name="工业基础设施水平">'比较法-工业'!$B$102:$M$102</definedName>
    <definedName name="工业建筑结构" localSheetId="47">'[1]比较法-工业'!$B$93:$M$93</definedName>
    <definedName name="工业建筑结构">'比较法-工业'!$B$93:$M$93</definedName>
    <definedName name="工业建筑类型" localSheetId="47">'[1]比较法-工业'!$B$88:$M$88</definedName>
    <definedName name="工业建筑类型">'比较法-工业'!$B$88:$M$88</definedName>
    <definedName name="工业交易情况" localSheetId="47">'[1]比较法-工业'!$A$55:$M$55</definedName>
    <definedName name="工业交易情况">'比较法-工业'!$A$55:$M$55</definedName>
    <definedName name="工业内部装修" localSheetId="47">'[1]比较法-工业'!$B$104:$M$104</definedName>
    <definedName name="工业内部装修">'比较法-工业'!$B$104:$M$104</definedName>
    <definedName name="工业物业管理" localSheetId="47">'[1]比较法-工业'!$B$100:$M$100</definedName>
    <definedName name="工业物业管理">'比较法-工业'!$B$100:$M$100</definedName>
    <definedName name="工业用途" localSheetId="47">'[1]比较法-工业'!$B$57:$M$57</definedName>
    <definedName name="工业用途">'比较法-工业'!$B$57:$M$57</definedName>
    <definedName name="公共配套设施" localSheetId="47">[1]定义!$Q$1:$Q$6</definedName>
    <definedName name="公共配套设施">定义!$Q$1:$Q$6</definedName>
    <definedName name="估价范围判定" localSheetId="47">[1]定义!$D$1:$D$4</definedName>
    <definedName name="估价范围判定">定义!$D$1:$D$4</definedName>
    <definedName name="估价方法" localSheetId="47">[1]定义!$B$1:$B$50</definedName>
    <definedName name="估价方法">定义!$B$1:$B$50</definedName>
    <definedName name="环境" localSheetId="47">[1]定义!$S$1:$S$6</definedName>
    <definedName name="环境">定义!$S$1:$S$6</definedName>
    <definedName name="基础设施水平" localSheetId="47">[1]定义!$R$1:$R$6</definedName>
    <definedName name="基础设施水平">定义!$R$1:$R$6</definedName>
    <definedName name="季度">基准地价修正!$Q$19:$AD$19</definedName>
    <definedName name="价值类型2" localSheetId="47">[1]定义!$B$54:$B$56</definedName>
    <definedName name="价值类型2">定义!$B$54:$B$56</definedName>
    <definedName name="交通便捷度" localSheetId="47">[1]定义!$O$1:$O$6</definedName>
    <definedName name="交通便捷度">定义!$O$1:$O$6</definedName>
    <definedName name="九级">区片价!$Q$1:$Q$51</definedName>
    <definedName name="居住社区成熟度" localSheetId="47">[1]定义!$K$1:$K$6</definedName>
    <definedName name="居住社区成熟度">定义!$K$1:$K$6</definedName>
    <definedName name="类别" localSheetId="47">[1]定义!$J$1:$J$3</definedName>
    <definedName name="类别">定义!$J$1:$J$3</definedName>
    <definedName name="临街状况" localSheetId="47">[1]定义!$T$1:$T$5</definedName>
    <definedName name="临街状况">定义!$T$1:$T$5</definedName>
    <definedName name="六级">区片价!$N$1:$N$64</definedName>
    <definedName name="内部装修维护情况" localSheetId="47">[1]定义!$U$1:$U$6</definedName>
    <definedName name="内部装修维护情况">定义!$U$1:$U$6</definedName>
    <definedName name="判定">[2]定义!$D$1:$D$4</definedName>
    <definedName name="七级">区片价!$O$1:$O$45</definedName>
    <definedName name="七通一平" localSheetId="47">[1]修正!$A$8:$A$16</definedName>
    <definedName name="七通一平">修正!$A$8:$A$16</definedName>
    <definedName name="区域土地利用方向" localSheetId="47">[1]定义!$P$1:$P$6</definedName>
    <definedName name="区域土地利用方向">定义!$P$1:$P$6</definedName>
    <definedName name="三级">区片价!$K$1:$K$26</definedName>
    <definedName name="商业层高" localSheetId="21">'比较法-商业 (售价)'!$B$116:$M$116</definedName>
    <definedName name="商业层高" localSheetId="47">'[1]比较法-商业'!$B$116:$M$116</definedName>
    <definedName name="商业层高">'比较法-商业（租金）'!$B$116:$M$116</definedName>
    <definedName name="商业成新度" localSheetId="21">'比较法-商业 (售价)'!$B$109:$M$109</definedName>
    <definedName name="商业成新度">'比较法-商业（租金）'!$B$109:$M$109</definedName>
    <definedName name="商业繁华度" localSheetId="47">[1]定义!$L$1:$L$6</definedName>
    <definedName name="商业繁华度">定义!$L$1:$L$6</definedName>
    <definedName name="商业公共部分装修" localSheetId="21">'比较法-商业 (售价)'!$B$107:$M$107</definedName>
    <definedName name="商业公共部分装修" localSheetId="47">'[1]比较法-商业'!$B$107:$M$107</definedName>
    <definedName name="商业公共部分装修">'比较法-商业（租金）'!$B$107:$M$107</definedName>
    <definedName name="商业基础设施水平" localSheetId="21">'比较法-商业 (售价)'!$B$112:$M$112</definedName>
    <definedName name="商业基础设施水平" localSheetId="47">'[1]比较法-商业'!$B$112:$M$112</definedName>
    <definedName name="商业基础设施水平">'比较法-商业（租金）'!$B$112:$M$112</definedName>
    <definedName name="商业建筑结构" localSheetId="21">'比较法-商业 (售价)'!$B$105:$M$105</definedName>
    <definedName name="商业建筑结构" localSheetId="47">'[1]比较法-商业'!$B$105:$M$105</definedName>
    <definedName name="商业建筑结构">'比较法-商业（租金）'!$B$105:$M$105</definedName>
    <definedName name="商业交易情况" localSheetId="21">'比较法-商业 (售价)'!$A$61:$M$61</definedName>
    <definedName name="商业交易情况" localSheetId="47">'[1]比较法-商业'!$A$61:$M$61</definedName>
    <definedName name="商业交易情况">'比较法-商业（租金）'!$A$61:$M$61</definedName>
    <definedName name="商业街名称" localSheetId="47">[1]修正!$C$71:$C$138</definedName>
    <definedName name="商业街名称">修正!$C$71:$C$138</definedName>
    <definedName name="商业进深比" localSheetId="21">'比较法-商业 (售价)'!$B$120:$M$120</definedName>
    <definedName name="商业进深比" localSheetId="47">'[1]比较法-商业'!$B$120:$M$120</definedName>
    <definedName name="商业进深比">'比较法-商业（租金）'!$B$120:$M$120</definedName>
    <definedName name="商业类型" localSheetId="21">'比较法-商业 (售价)'!$B$100:$M$100</definedName>
    <definedName name="商业类型" localSheetId="47">'[1]比较法-商业'!$B$100:$M$100</definedName>
    <definedName name="商业类型">'比较法-商业（租金）'!$B$100:$M$100</definedName>
    <definedName name="商业临街状况" localSheetId="21">'比较法-商业 (售价)'!$B$86:$M$86</definedName>
    <definedName name="商业临街状况" localSheetId="47">'[1]比较法-商业'!$B$86:$M$86</definedName>
    <definedName name="商业临街状况">'比较法-商业（租金）'!$B$86:$M$86</definedName>
    <definedName name="商业楼层" localSheetId="21">'比较法-商业 (售价)'!$B$92:$M$92</definedName>
    <definedName name="商业楼层" localSheetId="47">'[1]比较法-商业'!$B$92:$M$92</definedName>
    <definedName name="商业楼层">'比较法-商业（租金）'!$B$92:$M$92</definedName>
    <definedName name="商业内部装修" localSheetId="21">'比较法-商业 (售价)'!$B$122:$M$122</definedName>
    <definedName name="商业内部装修" localSheetId="47">'[1]比较法-商业'!$B$122:$M$122</definedName>
    <definedName name="商业内部装修">'比较法-商业（租金）'!$B$122:$M$122</definedName>
    <definedName name="商业人流量" localSheetId="21">'比较法-商业 (售价)'!$B$90:$M$90</definedName>
    <definedName name="商业人流量" localSheetId="47">'[1]比较法-商业'!$B$90:$M$90</definedName>
    <definedName name="商业人流量">'比较法-商业（租金）'!$B$90:$M$90</definedName>
    <definedName name="商业业态" localSheetId="21">'比较法-商业 (售价)'!$B$114:$M$114</definedName>
    <definedName name="商业业态" localSheetId="47">'[1]比较法-商业'!$B$114:$M$114</definedName>
    <definedName name="商业业态">'比较法-商业（租金）'!$B$114:$M$114</definedName>
    <definedName name="商业用途" localSheetId="21">'比较法-商业 (售价)'!$B$63:$M$63</definedName>
    <definedName name="商业用途" localSheetId="47">'[1]比较法-商业'!$B$63:$M$63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47">'[1]比较法-仓储'!$B$89:$M$89</definedName>
    <definedName name="是否封闭">'比较法-仓储'!$B$89:$M$89</definedName>
    <definedName name="是否直接入户" localSheetId="47">'[1]比较法-车位'!$B$95:$M$95</definedName>
    <definedName name="是否直接入户">'比较法-车位'!$B$95:$M$95</definedName>
    <definedName name="四级">区片价!$L$1:$L$33</definedName>
    <definedName name="套工道路等级" localSheetId="47">'[1]土地比较法-工业'!$B$97:$M$97</definedName>
    <definedName name="套工道路等级">'土地比较法-工业'!$B$97:$M$97</definedName>
    <definedName name="套工地质条件" localSheetId="47">'[1]土地比较法-工业'!$B$114:$M$114</definedName>
    <definedName name="套工地质条件">'土地比较法-工业'!$B$114:$M$114</definedName>
    <definedName name="套工交易情况" localSheetId="47">'[1]土地比较法-住宅、综合'!$A$72:$M$72</definedName>
    <definedName name="套工交易情况">'土地比较法-住宅、综合'!$A$72:$M$72</definedName>
    <definedName name="套工土地级别" localSheetId="47">'[1]土地比较法-工业'!$B$99:$M$99</definedName>
    <definedName name="套工土地级别">'土地比较法-工业'!$B$99:$M$99</definedName>
    <definedName name="套工用途" localSheetId="47">'[1]土地比较法-工业'!$B$70:$M$70</definedName>
    <definedName name="套工用途">'土地比较法-工业'!$B$70:$M$70</definedName>
    <definedName name="套工宗地开发程度" localSheetId="47">'[1]土地比较法-工业'!$B$112:$M$112</definedName>
    <definedName name="套工宗地开发程度">'土地比较法-工业'!$B$112:$M$112</definedName>
    <definedName name="套工宗地形状" localSheetId="47">'[1]土地比较法-工业'!$B$110:$M$110</definedName>
    <definedName name="套工宗地形状">'土地比较法-工业'!$B$110:$M$110</definedName>
    <definedName name="套综道路等级" localSheetId="47">'[1]土地比较法-住宅、综合'!$B$105:$M$105</definedName>
    <definedName name="套综道路等级">'土地比较法-住宅、综合'!$B$105:$M$105</definedName>
    <definedName name="套综工程地质条件" localSheetId="47">'[1]土地比较法-住宅、综合'!$B$124:$M$124</definedName>
    <definedName name="套综工程地质条件">'土地比较法-住宅、综合'!$B$124:$M$124</definedName>
    <definedName name="套综交易情况" localSheetId="47">'[1]土地比较法-住宅、综合'!$A$72:$M$72</definedName>
    <definedName name="套综交易情况">'土地比较法-住宅、综合'!$A$72:$M$72</definedName>
    <definedName name="套综临街宽度及深度" localSheetId="47">'[1]土地比较法-住宅、综合'!$B$120:$M$120</definedName>
    <definedName name="套综临街宽度及深度">'土地比较法-住宅、综合'!$B$120:$M$120</definedName>
    <definedName name="套综土地级别" localSheetId="47">'[1]土地比较法-住宅、综合'!$B$107:$M$107</definedName>
    <definedName name="套综土地级别">'土地比较法-住宅、综合'!$B$107:$M$107</definedName>
    <definedName name="套综用途" localSheetId="47">'[1]土地比较法-住宅、综合'!$B$74:$M$74</definedName>
    <definedName name="套综用途">'土地比较法-住宅、综合'!$B$74:$M$74</definedName>
    <definedName name="套综宗地内开发程度" localSheetId="47">'[1]土地比较法-住宅、综合'!$B$122:$M$122</definedName>
    <definedName name="套综宗地内开发程度">'土地比较法-住宅、综合'!$B$122:$M$122</definedName>
    <definedName name="套综宗地形状" localSheetId="47">'[1]土地比较法-住宅、综合'!$B$118:$M$118</definedName>
    <definedName name="套综宗地形状">'土地比较法-住宅、综合'!$B$118:$M$118</definedName>
    <definedName name="土地估价师">估价师及机构信息!$D$3:$D$24</definedName>
    <definedName name="土地级别" localSheetId="47">[1]定义!$C$1:$C$14</definedName>
    <definedName name="土地级别">定义!$C$1:$C$14</definedName>
    <definedName name="土地利用方向">定义!$P$1:$P$6</definedName>
    <definedName name="土地年限区间">定义!$I$1:$I$16</definedName>
    <definedName name="位置" localSheetId="47">[1]定义!$E$2:$E$4</definedName>
    <definedName name="位置">定义!$E$2:$E$4</definedName>
    <definedName name="五等判定" localSheetId="47">[1]定义!$W$1:$W$6</definedName>
    <definedName name="五等判定">定义!$W$1:$W$6</definedName>
    <definedName name="五级">区片价!$M$1:$M$41</definedName>
    <definedName name="项目类型" localSheetId="24">'[3]数据-汇总表'!$C$17:$C$26</definedName>
    <definedName name="项目类型" localSheetId="47">'[1]数据-汇总表'!$C$17:$C$26</definedName>
    <definedName name="项目类型">'数据-汇总表'!$C$17:$C$26</definedName>
    <definedName name="写字楼等级" localSheetId="47">'[1]比较法-办公'!$B$113:$M$113</definedName>
    <definedName name="写字楼等级">'比较法-办公'!$B$113:$M$113</definedName>
    <definedName name="一级">区片价!$I$1:$I$6</definedName>
    <definedName name="一修多修正项2" localSheetId="47">[1]典型户型修正!$5:$5</definedName>
    <definedName name="一修多修正项2">典型户型修正!$5:$5</definedName>
    <definedName name="一修多修正项3" localSheetId="47">[1]典型户型修正!$7:$7</definedName>
    <definedName name="一修多修正项3">典型户型修正!$7:$7</definedName>
    <definedName name="一修多修正项4" localSheetId="47">[1]典型户型修正!$9:$9</definedName>
    <definedName name="一修多修正项4">典型户型修正!$9:$9</definedName>
    <definedName name="一修多修正项5" localSheetId="47">[1]典型户型修正!$11:$11</definedName>
    <definedName name="一修多修正项5">典型户型修正!$11:$11</definedName>
    <definedName name="一修多修正项6" localSheetId="47">[1]典型户型修正!$13:$13</definedName>
    <definedName name="一修多修正项6">典型户型修正!$13:$13</definedName>
    <definedName name="一修多修正项7" localSheetId="47">[1]典型户型修正!$15:$15</definedName>
    <definedName name="一修多修正项7">典型户型修正!$15:$15</definedName>
    <definedName name="一修多修正项8" localSheetId="47">[1]典型户型修正!$17:$17</definedName>
    <definedName name="一修多修正项8">典型户型修正!$17:$17</definedName>
    <definedName name="用途明细" localSheetId="47">[1]定义!$A$1:$A$50</definedName>
    <definedName name="用途明细">定义!$A$1:$A$50</definedName>
    <definedName name="有无电梯" localSheetId="47">'[1]比较法-仓储'!$B$84:$M$84</definedName>
    <definedName name="有无电梯">'比较法-仓储'!$B$84:$M$84</definedName>
    <definedName name="主用途" localSheetId="47">[1]定义!$F$1:$F$12</definedName>
    <definedName name="主用途">定义!$F$1:$F$12</definedName>
    <definedName name="住宅朝向" localSheetId="47">'[1]比较法-住宅'!$B$88:$M$88</definedName>
    <definedName name="住宅朝向">'比较法-住宅'!$B$88:$M$88</definedName>
    <definedName name="住宅房型" localSheetId="47">'[1]比较法-住宅'!$B$118:$M$118</definedName>
    <definedName name="住宅房型">'比较法-住宅'!$B$118:$M$118</definedName>
    <definedName name="住宅公共部分装修" localSheetId="47">'[1]比较法-住宅'!$B$109:$M$109</definedName>
    <definedName name="住宅公共部分装修">'比较法-住宅'!$B$109:$M$109</definedName>
    <definedName name="住宅基础设施水平" localSheetId="47">'[1]比较法-住宅'!$B$116:$M$116</definedName>
    <definedName name="住宅基础设施水平">'比较法-住宅'!$B$116:$M$116</definedName>
    <definedName name="住宅建筑结构" localSheetId="47">'[1]比较法-住宅'!$B$105:$M$105</definedName>
    <definedName name="住宅建筑结构">'比较法-住宅'!$B$105:$M$105</definedName>
    <definedName name="住宅建筑类型" localSheetId="47">'[1]比较法-住宅'!$B$100:$M$100</definedName>
    <definedName name="住宅建筑类型">'比较法-住宅'!$B$100:$M$100</definedName>
    <definedName name="住宅建筑品质" localSheetId="47">'[1]比较法-住宅'!$B$107:$M$107</definedName>
    <definedName name="住宅建筑品质">'比较法-住宅'!$B$107:$M$107</definedName>
    <definedName name="住宅交易情况" localSheetId="47">'[1]比较法-住宅'!$A$61:$M$61</definedName>
    <definedName name="住宅交易情况">'比较法-住宅'!$A$61:$M$61</definedName>
    <definedName name="住宅楼层" localSheetId="47">'[1]比较法-住宅'!$B$86:$M$86</definedName>
    <definedName name="住宅楼层">'比较法-住宅'!$B$86:$M$86</definedName>
    <definedName name="住宅内部装修" localSheetId="47">'[1]比较法-住宅'!$B$122:$M$122</definedName>
    <definedName name="住宅内部装修">'比较法-住宅'!$B$122:$M$122</definedName>
    <definedName name="住宅物业管理" localSheetId="47">'[1]比较法-住宅'!$B$114:$M$114</definedName>
    <definedName name="住宅物业管理">'比较法-住宅'!$B$114:$M$114</definedName>
    <definedName name="住宅用途" localSheetId="47">'[1]比较法-住宅'!$B$63:$M$63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I33" i="85" l="1"/>
  <c r="G33" i="85"/>
  <c r="E33" i="85"/>
  <c r="I47" i="85" l="1"/>
  <c r="G47" i="85"/>
  <c r="E47" i="85"/>
  <c r="I5" i="85"/>
  <c r="G5" i="85"/>
  <c r="E5" i="85"/>
  <c r="E4" i="86"/>
  <c r="E3" i="86"/>
  <c r="E2" i="86"/>
  <c r="Z6" i="1" l="1"/>
  <c r="Z19" i="1"/>
  <c r="BX17" i="83"/>
  <c r="BX18" i="83" s="1"/>
  <c r="BX19" i="83" s="1"/>
  <c r="BX20" i="83" s="1"/>
  <c r="BX21" i="83" s="1"/>
  <c r="BX22" i="83" s="1"/>
  <c r="BX23" i="83" s="1"/>
  <c r="BX24" i="83" s="1"/>
  <c r="BX25" i="83" s="1"/>
  <c r="BX26" i="83" s="1"/>
  <c r="BX27" i="83" s="1"/>
  <c r="BX28" i="83" s="1"/>
  <c r="BY28" i="83" s="1"/>
  <c r="BL28" i="83"/>
  <c r="BL27" i="83"/>
  <c r="BL26" i="83"/>
  <c r="BL25" i="83"/>
  <c r="BL24" i="83"/>
  <c r="BL23" i="83"/>
  <c r="BL22" i="83"/>
  <c r="BL21" i="83"/>
  <c r="BL20" i="83"/>
  <c r="BL19" i="83"/>
  <c r="BL18" i="83"/>
  <c r="BL17" i="83"/>
  <c r="K43" i="33" l="1"/>
  <c r="K42" i="33"/>
  <c r="K41" i="33"/>
  <c r="K39" i="33"/>
  <c r="K38" i="33"/>
  <c r="K37" i="33"/>
  <c r="K35" i="33"/>
  <c r="K34" i="33"/>
  <c r="K36" i="33"/>
  <c r="K32" i="33"/>
  <c r="D101" i="33" s="1"/>
  <c r="J32" i="33" s="1"/>
  <c r="AC32" i="33" s="1"/>
  <c r="K27" i="33"/>
  <c r="K25" i="33"/>
  <c r="K23" i="33"/>
  <c r="K21" i="33"/>
  <c r="K19" i="33"/>
  <c r="K17" i="33"/>
  <c r="K15" i="33"/>
  <c r="BJ28" i="83"/>
  <c r="BJ29" i="83" s="1"/>
  <c r="F70" i="67"/>
  <c r="F52" i="67"/>
  <c r="I13" i="4"/>
  <c r="U6" i="1"/>
  <c r="F8" i="85"/>
  <c r="AA8" i="85" s="1"/>
  <c r="D101" i="85"/>
  <c r="E101" i="85" s="1"/>
  <c r="D115" i="85"/>
  <c r="F38" i="85" s="1"/>
  <c r="AA38" i="85" s="1"/>
  <c r="C36" i="85"/>
  <c r="D111" i="85"/>
  <c r="E111" i="85" s="1"/>
  <c r="F111" i="85" s="1"/>
  <c r="H8" i="85"/>
  <c r="AB8" i="85"/>
  <c r="H38" i="85"/>
  <c r="AB38" i="85" s="1"/>
  <c r="J8" i="85"/>
  <c r="AC8" i="85"/>
  <c r="J38" i="85"/>
  <c r="AC38" i="85" s="1"/>
  <c r="B130" i="85"/>
  <c r="B128" i="85"/>
  <c r="B126" i="85"/>
  <c r="D125" i="85"/>
  <c r="E125" i="85" s="1"/>
  <c r="F125" i="85" s="1"/>
  <c r="G125" i="85" s="1"/>
  <c r="D123" i="85"/>
  <c r="E123" i="85" s="1"/>
  <c r="F123" i="85" s="1"/>
  <c r="G123" i="85" s="1"/>
  <c r="H123" i="85" s="1"/>
  <c r="I123" i="85" s="1"/>
  <c r="J123" i="85" s="1"/>
  <c r="K123" i="85" s="1"/>
  <c r="L123" i="85" s="1"/>
  <c r="M123" i="85" s="1"/>
  <c r="F122" i="85"/>
  <c r="E122" i="85"/>
  <c r="D122" i="85"/>
  <c r="J42" i="85" s="1"/>
  <c r="AC42" i="85" s="1"/>
  <c r="C122" i="85"/>
  <c r="F42" i="85" s="1"/>
  <c r="AA42" i="85" s="1"/>
  <c r="D121" i="85"/>
  <c r="E121" i="85" s="1"/>
  <c r="F121" i="85" s="1"/>
  <c r="G121" i="85" s="1"/>
  <c r="H121" i="85" s="1"/>
  <c r="I121" i="85" s="1"/>
  <c r="J121" i="85" s="1"/>
  <c r="K121" i="85" s="1"/>
  <c r="L121" i="85" s="1"/>
  <c r="M121" i="85" s="1"/>
  <c r="D117" i="85"/>
  <c r="E117" i="85" s="1"/>
  <c r="F117" i="85" s="1"/>
  <c r="G117" i="85" s="1"/>
  <c r="E115" i="85"/>
  <c r="F115" i="85" s="1"/>
  <c r="G115" i="85" s="1"/>
  <c r="H115" i="85" s="1"/>
  <c r="I115" i="85" s="1"/>
  <c r="J115" i="85" s="1"/>
  <c r="K115" i="85" s="1"/>
  <c r="L115" i="85" s="1"/>
  <c r="M115" i="85" s="1"/>
  <c r="D113" i="85"/>
  <c r="E113" i="85"/>
  <c r="F113" i="85" s="1"/>
  <c r="G113" i="85" s="1"/>
  <c r="H113" i="85" s="1"/>
  <c r="I113" i="85" s="1"/>
  <c r="J113" i="85" s="1"/>
  <c r="K113" i="85" s="1"/>
  <c r="L113" i="85" s="1"/>
  <c r="M113" i="85" s="1"/>
  <c r="G112" i="85"/>
  <c r="F112" i="85"/>
  <c r="E112" i="85"/>
  <c r="D112" i="85"/>
  <c r="C112" i="85"/>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M102" i="85"/>
  <c r="L102" i="85"/>
  <c r="K102" i="85"/>
  <c r="J102" i="85"/>
  <c r="I102" i="85"/>
  <c r="H102" i="85"/>
  <c r="G102" i="85"/>
  <c r="F102" i="85"/>
  <c r="E102" i="85"/>
  <c r="D102" i="85"/>
  <c r="C102" i="85"/>
  <c r="B98" i="85"/>
  <c r="B96" i="85"/>
  <c r="B94" i="85"/>
  <c r="B92" i="85"/>
  <c r="D91" i="85"/>
  <c r="E91" i="85" s="1"/>
  <c r="F91" i="85" s="1"/>
  <c r="G91" i="85" s="1"/>
  <c r="H91" i="85" s="1"/>
  <c r="I91" i="85" s="1"/>
  <c r="J91" i="85" s="1"/>
  <c r="K91" i="85" s="1"/>
  <c r="L91" i="85" s="1"/>
  <c r="M91" i="85" s="1"/>
  <c r="B90" i="85"/>
  <c r="D81" i="85"/>
  <c r="E81" i="85"/>
  <c r="D89" i="85"/>
  <c r="C89" i="85"/>
  <c r="B88" i="85"/>
  <c r="D87" i="85"/>
  <c r="E87" i="85"/>
  <c r="F87" i="85" s="1"/>
  <c r="G87" i="85"/>
  <c r="H87" i="85" s="1"/>
  <c r="I87" i="85" s="1"/>
  <c r="J87" i="85" s="1"/>
  <c r="K87" i="85" s="1"/>
  <c r="L87" i="85" s="1"/>
  <c r="M87" i="85" s="1"/>
  <c r="D85" i="85"/>
  <c r="E85" i="85"/>
  <c r="F85" i="85" s="1"/>
  <c r="G85" i="85"/>
  <c r="D83" i="85"/>
  <c r="E83" i="85"/>
  <c r="F83" i="85" s="1"/>
  <c r="G83" i="85" s="1"/>
  <c r="D79" i="85"/>
  <c r="E79" i="85"/>
  <c r="F79" i="85" s="1"/>
  <c r="G79" i="85"/>
  <c r="D77" i="85"/>
  <c r="E77" i="85"/>
  <c r="F77" i="85" s="1"/>
  <c r="G77" i="85" s="1"/>
  <c r="B74" i="85"/>
  <c r="B72" i="85"/>
  <c r="B70" i="85"/>
  <c r="D69" i="85"/>
  <c r="E69" i="85" s="1"/>
  <c r="F69" i="85"/>
  <c r="G69" i="85" s="1"/>
  <c r="H69" i="85" s="1"/>
  <c r="I69" i="85" s="1"/>
  <c r="J69" i="85" s="1"/>
  <c r="K69" i="85" s="1"/>
  <c r="L69" i="85" s="1"/>
  <c r="M69" i="85" s="1"/>
  <c r="M67" i="85"/>
  <c r="L67" i="85"/>
  <c r="K67" i="85"/>
  <c r="J67" i="85"/>
  <c r="I67" i="85"/>
  <c r="H67" i="85"/>
  <c r="G67" i="85"/>
  <c r="F67" i="85"/>
  <c r="E67" i="85"/>
  <c r="D67" i="85"/>
  <c r="C67" i="85"/>
  <c r="C63" i="85"/>
  <c r="I54" i="85"/>
  <c r="J54" i="85" s="1"/>
  <c r="G54" i="85"/>
  <c r="H54" i="85" s="1"/>
  <c r="E54" i="85"/>
  <c r="F54" i="85" s="1"/>
  <c r="V47" i="85"/>
  <c r="J9" i="85"/>
  <c r="AC9" i="85" s="1"/>
  <c r="J10" i="85"/>
  <c r="AC10" i="85" s="1"/>
  <c r="J11" i="85"/>
  <c r="AC11" i="85" s="1"/>
  <c r="J12" i="85"/>
  <c r="AC12" i="85" s="1"/>
  <c r="J13" i="85"/>
  <c r="AC13" i="85" s="1"/>
  <c r="J14" i="85"/>
  <c r="AC14" i="85" s="1"/>
  <c r="J15" i="85"/>
  <c r="AC15" i="85" s="1"/>
  <c r="J17" i="85"/>
  <c r="AC17" i="85" s="1"/>
  <c r="J19" i="85"/>
  <c r="AC19" i="85" s="1"/>
  <c r="J21" i="85"/>
  <c r="AC21" i="85" s="1"/>
  <c r="J23" i="85"/>
  <c r="AC23" i="85" s="1"/>
  <c r="J25" i="85"/>
  <c r="AC25" i="85" s="1"/>
  <c r="J26" i="85"/>
  <c r="AC26" i="85" s="1"/>
  <c r="J27" i="85"/>
  <c r="AC27" i="85" s="1"/>
  <c r="J28" i="85"/>
  <c r="AC28" i="85" s="1"/>
  <c r="J29" i="85"/>
  <c r="AC29" i="85" s="1"/>
  <c r="J30" i="85"/>
  <c r="AC30" i="85" s="1"/>
  <c r="J31" i="85"/>
  <c r="AC31" i="85" s="1"/>
  <c r="J34" i="85"/>
  <c r="AC34" i="85"/>
  <c r="J35" i="85"/>
  <c r="AC35" i="85"/>
  <c r="J37" i="85"/>
  <c r="AC37" i="85"/>
  <c r="J39" i="85"/>
  <c r="AC39" i="85"/>
  <c r="J40" i="85"/>
  <c r="AC40" i="85"/>
  <c r="J41" i="85"/>
  <c r="AC41" i="85" s="1"/>
  <c r="J43" i="85"/>
  <c r="AC43" i="85" s="1"/>
  <c r="J44" i="85"/>
  <c r="AC44" i="85" s="1"/>
  <c r="J45" i="85"/>
  <c r="AC45" i="85" s="1"/>
  <c r="J46" i="85"/>
  <c r="AC46" i="85" s="1"/>
  <c r="R47" i="85"/>
  <c r="F9" i="85"/>
  <c r="AA9" i="85" s="1"/>
  <c r="F10" i="85"/>
  <c r="AA10" i="85" s="1"/>
  <c r="F11" i="85"/>
  <c r="AA11" i="85" s="1"/>
  <c r="F12" i="85"/>
  <c r="AA12" i="85" s="1"/>
  <c r="F13" i="85"/>
  <c r="AA13" i="85" s="1"/>
  <c r="F14" i="85"/>
  <c r="AA14" i="85" s="1"/>
  <c r="F15" i="85"/>
  <c r="AA15" i="85" s="1"/>
  <c r="F17" i="85"/>
  <c r="AA17" i="85" s="1"/>
  <c r="F19" i="85"/>
  <c r="AA19" i="85" s="1"/>
  <c r="F21" i="85"/>
  <c r="AA21" i="85" s="1"/>
  <c r="F23" i="85"/>
  <c r="AA23" i="85" s="1"/>
  <c r="F25" i="85"/>
  <c r="AA25" i="85" s="1"/>
  <c r="F26" i="85"/>
  <c r="AA26" i="85" s="1"/>
  <c r="F27" i="85"/>
  <c r="AA27" i="85" s="1"/>
  <c r="F28" i="85"/>
  <c r="AA28" i="85" s="1"/>
  <c r="F29" i="85"/>
  <c r="AA29" i="85" s="1"/>
  <c r="F30" i="85"/>
  <c r="AA30" i="85" s="1"/>
  <c r="F31" i="85"/>
  <c r="AA31" i="85" s="1"/>
  <c r="F34" i="85"/>
  <c r="AA34" i="85" s="1"/>
  <c r="F35" i="85"/>
  <c r="AA35" i="85" s="1"/>
  <c r="F37" i="85"/>
  <c r="AA37" i="85" s="1"/>
  <c r="F39" i="85"/>
  <c r="AA39" i="85" s="1"/>
  <c r="F40" i="85"/>
  <c r="AA40" i="85" s="1"/>
  <c r="F41" i="85"/>
  <c r="AA41" i="85" s="1"/>
  <c r="F43" i="85"/>
  <c r="AA43" i="85" s="1"/>
  <c r="F44" i="85"/>
  <c r="AA44" i="85" s="1"/>
  <c r="F45" i="85"/>
  <c r="AA45" i="85" s="1"/>
  <c r="F46" i="85"/>
  <c r="AA46" i="85" s="1"/>
  <c r="T47" i="85"/>
  <c r="H9" i="85"/>
  <c r="AB9" i="85" s="1"/>
  <c r="H10" i="85"/>
  <c r="AB10" i="85" s="1"/>
  <c r="H11" i="85"/>
  <c r="AB11" i="85" s="1"/>
  <c r="H12" i="85"/>
  <c r="AB12" i="85" s="1"/>
  <c r="H13" i="85"/>
  <c r="AB13" i="85" s="1"/>
  <c r="H14" i="85"/>
  <c r="AB14" i="85" s="1"/>
  <c r="H15" i="85"/>
  <c r="AB15" i="85" s="1"/>
  <c r="H17" i="85"/>
  <c r="AB17" i="85" s="1"/>
  <c r="H19" i="85"/>
  <c r="AB19" i="85" s="1"/>
  <c r="H21" i="85"/>
  <c r="AB21" i="85" s="1"/>
  <c r="H23" i="85"/>
  <c r="AB23" i="85" s="1"/>
  <c r="H25" i="85"/>
  <c r="AB25" i="85" s="1"/>
  <c r="H26" i="85"/>
  <c r="H27" i="85"/>
  <c r="AB27" i="85" s="1"/>
  <c r="H28" i="85"/>
  <c r="H29" i="85"/>
  <c r="AB29" i="85" s="1"/>
  <c r="H30" i="85"/>
  <c r="H31" i="85"/>
  <c r="AB31" i="85" s="1"/>
  <c r="H34" i="85"/>
  <c r="H35" i="85"/>
  <c r="AB35" i="85" s="1"/>
  <c r="H37" i="85"/>
  <c r="AB37" i="85" s="1"/>
  <c r="H39" i="85"/>
  <c r="AB39" i="85" s="1"/>
  <c r="H40" i="85"/>
  <c r="H41" i="85"/>
  <c r="AB41" i="85" s="1"/>
  <c r="H43" i="85"/>
  <c r="AB43" i="85" s="1"/>
  <c r="H44" i="85"/>
  <c r="H45" i="85"/>
  <c r="AB45" i="85" s="1"/>
  <c r="H46" i="85"/>
  <c r="P49" i="85"/>
  <c r="P48" i="85"/>
  <c r="K48" i="85"/>
  <c r="P47" i="85"/>
  <c r="Q46" i="85"/>
  <c r="Z46" i="85" s="1"/>
  <c r="W46" i="85"/>
  <c r="S46" i="85"/>
  <c r="Q45" i="85"/>
  <c r="Z45" i="85"/>
  <c r="W45" i="85"/>
  <c r="U45" i="85"/>
  <c r="Q44" i="85"/>
  <c r="Z44" i="85" s="1"/>
  <c r="W44" i="85"/>
  <c r="S44" i="85"/>
  <c r="Q43" i="85"/>
  <c r="Z43" i="85"/>
  <c r="W43" i="85"/>
  <c r="U43" i="85"/>
  <c r="Q42" i="85"/>
  <c r="Z42" i="85" s="1"/>
  <c r="W42" i="85"/>
  <c r="S42" i="85"/>
  <c r="Q41" i="85"/>
  <c r="Z41" i="85"/>
  <c r="W41" i="85"/>
  <c r="U41" i="85"/>
  <c r="Q40" i="85"/>
  <c r="Z40" i="85" s="1"/>
  <c r="W40" i="85"/>
  <c r="S40" i="85"/>
  <c r="Q39" i="85"/>
  <c r="Z39" i="85"/>
  <c r="W39" i="85"/>
  <c r="Q38" i="85"/>
  <c r="Z38" i="85" s="1"/>
  <c r="U38" i="85"/>
  <c r="S38" i="85"/>
  <c r="Q37" i="85"/>
  <c r="Z37" i="85"/>
  <c r="W37" i="85"/>
  <c r="U37" i="85"/>
  <c r="Q36" i="85"/>
  <c r="Z36" i="85" s="1"/>
  <c r="Q35" i="85"/>
  <c r="Z35" i="85"/>
  <c r="W35" i="85"/>
  <c r="U35" i="85"/>
  <c r="Q34" i="85"/>
  <c r="Z34" i="85" s="1"/>
  <c r="W34" i="85"/>
  <c r="S34" i="85"/>
  <c r="Q33" i="85"/>
  <c r="Z33" i="85"/>
  <c r="Q32" i="85"/>
  <c r="Z32" i="85" s="1"/>
  <c r="Q31" i="85"/>
  <c r="Z31" i="85"/>
  <c r="W31" i="85"/>
  <c r="U31" i="85"/>
  <c r="Q30" i="85"/>
  <c r="Z30" i="85" s="1"/>
  <c r="W30" i="85"/>
  <c r="S30" i="85"/>
  <c r="Q29" i="85"/>
  <c r="Z29" i="85"/>
  <c r="W29" i="85"/>
  <c r="U29" i="85"/>
  <c r="Q28" i="85"/>
  <c r="Z28" i="85" s="1"/>
  <c r="W28" i="85"/>
  <c r="S28" i="85"/>
  <c r="Q27" i="85"/>
  <c r="Z27" i="85"/>
  <c r="W27" i="85"/>
  <c r="U27" i="85"/>
  <c r="Q26" i="85"/>
  <c r="Z26" i="85" s="1"/>
  <c r="W26" i="85"/>
  <c r="S26" i="85"/>
  <c r="Q25" i="85"/>
  <c r="Z25" i="85"/>
  <c r="W25" i="85"/>
  <c r="U25" i="85"/>
  <c r="Q23" i="85"/>
  <c r="Z23" i="85" s="1"/>
  <c r="W23" i="85"/>
  <c r="S23" i="85"/>
  <c r="C23" i="85"/>
  <c r="Q21" i="85"/>
  <c r="Z21" i="85" s="1"/>
  <c r="W21" i="85"/>
  <c r="S21" i="85"/>
  <c r="C21" i="85"/>
  <c r="Q19" i="85"/>
  <c r="Z19" i="85" s="1"/>
  <c r="W19" i="85"/>
  <c r="S19" i="85"/>
  <c r="C19" i="85"/>
  <c r="Q17" i="85"/>
  <c r="Z17" i="85" s="1"/>
  <c r="W17" i="85"/>
  <c r="S17" i="85"/>
  <c r="C17" i="85"/>
  <c r="Q15" i="85"/>
  <c r="Z15" i="85" s="1"/>
  <c r="W15" i="85"/>
  <c r="S15" i="85"/>
  <c r="C15" i="85"/>
  <c r="Q14" i="85"/>
  <c r="Z14" i="85" s="1"/>
  <c r="W14" i="85"/>
  <c r="S14" i="85"/>
  <c r="Q13" i="85"/>
  <c r="Z13" i="85"/>
  <c r="W13" i="85"/>
  <c r="U13" i="85"/>
  <c r="Q12" i="85"/>
  <c r="Z12" i="85" s="1"/>
  <c r="W12" i="85"/>
  <c r="S12" i="85"/>
  <c r="Q11" i="85"/>
  <c r="Z11" i="85"/>
  <c r="W11" i="85"/>
  <c r="U11" i="85"/>
  <c r="Q10" i="85"/>
  <c r="Z10" i="85" s="1"/>
  <c r="W10" i="85"/>
  <c r="S10" i="85"/>
  <c r="Q9" i="85"/>
  <c r="Z9" i="85"/>
  <c r="U9" i="85"/>
  <c r="S9" i="85"/>
  <c r="W8" i="85"/>
  <c r="U8" i="85"/>
  <c r="S8" i="85"/>
  <c r="C5" i="85"/>
  <c r="W35" i="84"/>
  <c r="V35" i="84"/>
  <c r="I5" i="33"/>
  <c r="F38" i="33"/>
  <c r="AA38" i="33" s="1"/>
  <c r="E33" i="33"/>
  <c r="C36" i="33"/>
  <c r="D111" i="33"/>
  <c r="E111" i="33"/>
  <c r="F111" i="33" s="1"/>
  <c r="F36" i="33"/>
  <c r="AA36" i="33" s="1"/>
  <c r="D123" i="33"/>
  <c r="D77" i="33"/>
  <c r="F15" i="33"/>
  <c r="AA15" i="33" s="1"/>
  <c r="D79" i="33"/>
  <c r="D81" i="33"/>
  <c r="F19" i="33"/>
  <c r="AA19" i="33" s="1"/>
  <c r="D89" i="33"/>
  <c r="F21" i="33"/>
  <c r="AA21" i="33"/>
  <c r="D85" i="33"/>
  <c r="F23" i="33"/>
  <c r="AA23" i="33" s="1"/>
  <c r="D87" i="33"/>
  <c r="E87" i="33" s="1"/>
  <c r="H25" i="33" s="1"/>
  <c r="F25" i="33"/>
  <c r="AA25" i="33" s="1"/>
  <c r="D91" i="33"/>
  <c r="F32" i="33"/>
  <c r="AA32" i="33" s="1"/>
  <c r="F34" i="33"/>
  <c r="AA34" i="33"/>
  <c r="F35" i="33"/>
  <c r="AA35" i="33"/>
  <c r="D113" i="33"/>
  <c r="F39" i="33"/>
  <c r="AA39" i="33" s="1"/>
  <c r="D121" i="33"/>
  <c r="D125" i="33"/>
  <c r="F43" i="33"/>
  <c r="AA43" i="33" s="1"/>
  <c r="D115" i="33"/>
  <c r="H38" i="33" s="1"/>
  <c r="T47" i="33"/>
  <c r="H15" i="33"/>
  <c r="AB15" i="33"/>
  <c r="H19" i="33"/>
  <c r="AB19" i="33"/>
  <c r="H21" i="33"/>
  <c r="AB21" i="33"/>
  <c r="H23" i="33"/>
  <c r="AB23" i="33"/>
  <c r="AB25" i="33"/>
  <c r="H32" i="33"/>
  <c r="AB32" i="33"/>
  <c r="H34" i="33"/>
  <c r="AB34" i="33"/>
  <c r="H35" i="33"/>
  <c r="AB35" i="33"/>
  <c r="H39" i="33"/>
  <c r="AB39" i="33"/>
  <c r="H43" i="33"/>
  <c r="AB43" i="33"/>
  <c r="I47" i="33"/>
  <c r="V47" i="33"/>
  <c r="I33" i="33"/>
  <c r="J36" i="33"/>
  <c r="AC36" i="33" s="1"/>
  <c r="J15" i="33"/>
  <c r="AC15" i="33" s="1"/>
  <c r="J17" i="33"/>
  <c r="AC17" i="33" s="1"/>
  <c r="J19" i="33"/>
  <c r="AC19" i="33" s="1"/>
  <c r="J21" i="33"/>
  <c r="AC21" i="33" s="1"/>
  <c r="J23" i="33"/>
  <c r="AC23" i="33" s="1"/>
  <c r="J25" i="33"/>
  <c r="AC25" i="33" s="1"/>
  <c r="J34" i="33"/>
  <c r="AC34" i="33"/>
  <c r="J35" i="33"/>
  <c r="AC35" i="33"/>
  <c r="J39" i="33"/>
  <c r="AC39" i="33"/>
  <c r="J41" i="33"/>
  <c r="AC41" i="33"/>
  <c r="J43" i="33"/>
  <c r="AC43" i="33"/>
  <c r="C12" i="83"/>
  <c r="F122" i="33"/>
  <c r="E122" i="33"/>
  <c r="D122" i="33"/>
  <c r="C122" i="33"/>
  <c r="G112" i="33"/>
  <c r="F112" i="33"/>
  <c r="E112" i="33"/>
  <c r="D112" i="33"/>
  <c r="C112" i="33"/>
  <c r="H37" i="33" s="1"/>
  <c r="AB37" i="33" s="1"/>
  <c r="E104" i="33"/>
  <c r="F104" i="33" s="1"/>
  <c r="G104" i="33" s="1"/>
  <c r="H104" i="33" s="1"/>
  <c r="D104" i="33"/>
  <c r="E81" i="33"/>
  <c r="F81" i="33" s="1"/>
  <c r="C89" i="33"/>
  <c r="G5" i="33"/>
  <c r="E5" i="33"/>
  <c r="C5" i="33"/>
  <c r="C11" i="83"/>
  <c r="E47" i="33" s="1"/>
  <c r="R47" i="33" s="1"/>
  <c r="B22" i="1"/>
  <c r="E1" i="73" s="1"/>
  <c r="K1" i="73" s="1"/>
  <c r="B21" i="1"/>
  <c r="B23" i="1" s="1"/>
  <c r="F20" i="68"/>
  <c r="F21" i="68"/>
  <c r="C21" i="68" s="1"/>
  <c r="B24" i="1"/>
  <c r="F34" i="68" s="1"/>
  <c r="F35" i="68"/>
  <c r="C40" i="68"/>
  <c r="F20" i="69"/>
  <c r="F21" i="69"/>
  <c r="C21" i="69"/>
  <c r="F35" i="69"/>
  <c r="C40" i="69"/>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V20" i="1"/>
  <c r="F15" i="15"/>
  <c r="F20" i="15"/>
  <c r="F23" i="15"/>
  <c r="F21" i="15"/>
  <c r="Y6" i="1"/>
  <c r="F15" i="67"/>
  <c r="F20" i="67"/>
  <c r="F23" i="67"/>
  <c r="F21" i="67"/>
  <c r="C17" i="9"/>
  <c r="D17" i="9"/>
  <c r="C18" i="9" s="1"/>
  <c r="D18" i="9" s="1"/>
  <c r="J52" i="67"/>
  <c r="J49" i="67"/>
  <c r="C34" i="77"/>
  <c r="D34" i="77"/>
  <c r="E34" i="77"/>
  <c r="D3" i="4"/>
  <c r="B2" i="1"/>
  <c r="C7" i="85" s="1"/>
  <c r="D15" i="4"/>
  <c r="F6" i="1" s="1"/>
  <c r="I24" i="43" s="1"/>
  <c r="G2" i="43"/>
  <c r="H21" i="43" s="1"/>
  <c r="I2" i="43"/>
  <c r="M4" i="43" s="1"/>
  <c r="C6" i="43" s="1"/>
  <c r="C21" i="43"/>
  <c r="BB14" i="3"/>
  <c r="BB15" i="3"/>
  <c r="BB16" i="3"/>
  <c r="BB17" i="3"/>
  <c r="BB18" i="3"/>
  <c r="BB19" i="3"/>
  <c r="BB20" i="3"/>
  <c r="BB21" i="3"/>
  <c r="BB22" i="3"/>
  <c r="BB23" i="3"/>
  <c r="BB24" i="3"/>
  <c r="BB25" i="3"/>
  <c r="BB26" i="3"/>
  <c r="BB27" i="3"/>
  <c r="BB28" i="3"/>
  <c r="BB29" i="3"/>
  <c r="BB30" i="3"/>
  <c r="BB31" i="3"/>
  <c r="BB13" i="3"/>
  <c r="BC10" i="3"/>
  <c r="I5" i="3"/>
  <c r="F19" i="6"/>
  <c r="BQ14" i="3"/>
  <c r="BQ15" i="3"/>
  <c r="BQ16" i="3"/>
  <c r="BQ17" i="3"/>
  <c r="BQ18" i="3"/>
  <c r="BQ19" i="3"/>
  <c r="BQ20" i="3"/>
  <c r="BQ21" i="3"/>
  <c r="BQ22" i="3"/>
  <c r="BQ23" i="3"/>
  <c r="BQ24" i="3"/>
  <c r="BQ25" i="3"/>
  <c r="BQ26" i="3"/>
  <c r="BQ27" i="3"/>
  <c r="BQ28" i="3"/>
  <c r="BQ29" i="3"/>
  <c r="BQ30" i="3"/>
  <c r="BQ31" i="3"/>
  <c r="BS14" i="3"/>
  <c r="BS15" i="3"/>
  <c r="BS16" i="3"/>
  <c r="BS17" i="3"/>
  <c r="BS18" i="3"/>
  <c r="BS19" i="3"/>
  <c r="BS20" i="3"/>
  <c r="BS21" i="3"/>
  <c r="BS22" i="3"/>
  <c r="BS23" i="3"/>
  <c r="BS24" i="3"/>
  <c r="BS25" i="3"/>
  <c r="BS26" i="3"/>
  <c r="BS27" i="3"/>
  <c r="BS28" i="3"/>
  <c r="BS29" i="3"/>
  <c r="BS30" i="3"/>
  <c r="BS31" i="3"/>
  <c r="BM14" i="3"/>
  <c r="BM15" i="3"/>
  <c r="BM16" i="3"/>
  <c r="BM17" i="3"/>
  <c r="BM18" i="3"/>
  <c r="BM19" i="3"/>
  <c r="BM20" i="3"/>
  <c r="BM21" i="3"/>
  <c r="BM22" i="3"/>
  <c r="BM23" i="3"/>
  <c r="BM24" i="3"/>
  <c r="BM25" i="3"/>
  <c r="BM26" i="3"/>
  <c r="BM27" i="3"/>
  <c r="BM28" i="3"/>
  <c r="BM29" i="3"/>
  <c r="BM30" i="3"/>
  <c r="BM31" i="3"/>
  <c r="BO14" i="3"/>
  <c r="BO15" i="3"/>
  <c r="BO16" i="3"/>
  <c r="BO17" i="3"/>
  <c r="BO18" i="3"/>
  <c r="BO19" i="3"/>
  <c r="BO20" i="3"/>
  <c r="BO21" i="3"/>
  <c r="BO22" i="3"/>
  <c r="BO23" i="3"/>
  <c r="BO24" i="3"/>
  <c r="BO25" i="3"/>
  <c r="BO26" i="3"/>
  <c r="BO27" i="3"/>
  <c r="BO28" i="3"/>
  <c r="BO29" i="3"/>
  <c r="BO30" i="3"/>
  <c r="BO31" i="3"/>
  <c r="BC14" i="3"/>
  <c r="BD14" i="3"/>
  <c r="BE14" i="3"/>
  <c r="BF14" i="3"/>
  <c r="BG14" i="3"/>
  <c r="BH14" i="3"/>
  <c r="BI14" i="3"/>
  <c r="BJ14" i="3"/>
  <c r="BK14" i="3"/>
  <c r="BN14" i="3"/>
  <c r="BP14" i="3"/>
  <c r="BR14" i="3"/>
  <c r="BT14" i="3"/>
  <c r="BL14" i="3"/>
  <c r="BC15" i="3"/>
  <c r="BD15" i="3"/>
  <c r="BE15" i="3"/>
  <c r="BF15" i="3"/>
  <c r="BG15" i="3"/>
  <c r="BH15" i="3"/>
  <c r="BI15" i="3"/>
  <c r="BJ15" i="3"/>
  <c r="BK15" i="3"/>
  <c r="BN15" i="3"/>
  <c r="BP15" i="3"/>
  <c r="BR15" i="3"/>
  <c r="BT15" i="3"/>
  <c r="BL15" i="3"/>
  <c r="BC16" i="3"/>
  <c r="BD16" i="3"/>
  <c r="BE16" i="3"/>
  <c r="BF16" i="3"/>
  <c r="BG16" i="3"/>
  <c r="BH16" i="3"/>
  <c r="BI16" i="3"/>
  <c r="BJ16" i="3"/>
  <c r="BK16" i="3"/>
  <c r="BN16" i="3"/>
  <c r="BP16" i="3"/>
  <c r="BR16" i="3"/>
  <c r="BT16" i="3"/>
  <c r="BL16" i="3"/>
  <c r="BC17" i="3"/>
  <c r="BD17" i="3"/>
  <c r="BE17" i="3"/>
  <c r="BF17" i="3"/>
  <c r="BG17" i="3"/>
  <c r="BH17" i="3"/>
  <c r="BI17" i="3"/>
  <c r="BJ17" i="3"/>
  <c r="BK17" i="3"/>
  <c r="BN17" i="3"/>
  <c r="BP17" i="3"/>
  <c r="BR17" i="3"/>
  <c r="BT17" i="3"/>
  <c r="BL17" i="3"/>
  <c r="BC18" i="3"/>
  <c r="BD18" i="3"/>
  <c r="BE18" i="3"/>
  <c r="BF18" i="3"/>
  <c r="BG18" i="3"/>
  <c r="BH18" i="3"/>
  <c r="BI18" i="3"/>
  <c r="BJ18" i="3"/>
  <c r="BK18" i="3"/>
  <c r="BN18" i="3"/>
  <c r="BP18" i="3"/>
  <c r="BR18" i="3"/>
  <c r="BT18" i="3"/>
  <c r="BL18" i="3"/>
  <c r="BC19" i="3"/>
  <c r="BD19" i="3"/>
  <c r="BE19" i="3"/>
  <c r="BF19" i="3"/>
  <c r="BG19" i="3"/>
  <c r="BH19" i="3"/>
  <c r="BI19" i="3"/>
  <c r="BJ19" i="3"/>
  <c r="BK19" i="3"/>
  <c r="BN19" i="3"/>
  <c r="BP19" i="3"/>
  <c r="BR19" i="3"/>
  <c r="BT19" i="3"/>
  <c r="BL19" i="3"/>
  <c r="BC20" i="3"/>
  <c r="BD20" i="3"/>
  <c r="BE20" i="3"/>
  <c r="BF20" i="3"/>
  <c r="BG20" i="3"/>
  <c r="BH20" i="3"/>
  <c r="BI20" i="3"/>
  <c r="BJ20" i="3"/>
  <c r="BK20" i="3"/>
  <c r="BN20" i="3"/>
  <c r="BP20" i="3"/>
  <c r="BR20" i="3"/>
  <c r="BT20" i="3"/>
  <c r="BL20" i="3"/>
  <c r="BC21" i="3"/>
  <c r="BD21" i="3"/>
  <c r="BE21" i="3"/>
  <c r="BF21" i="3"/>
  <c r="BG21" i="3"/>
  <c r="BH21" i="3"/>
  <c r="BI21" i="3"/>
  <c r="BJ21" i="3"/>
  <c r="BK21" i="3"/>
  <c r="BN21" i="3"/>
  <c r="BP21" i="3"/>
  <c r="BR21" i="3"/>
  <c r="BT21" i="3"/>
  <c r="BL21" i="3"/>
  <c r="BC22" i="3"/>
  <c r="BD22" i="3"/>
  <c r="BE22" i="3"/>
  <c r="BF22" i="3"/>
  <c r="BG22" i="3"/>
  <c r="BH22" i="3"/>
  <c r="BI22" i="3"/>
  <c r="BJ22" i="3"/>
  <c r="BK22" i="3"/>
  <c r="BN22" i="3"/>
  <c r="BP22" i="3"/>
  <c r="BR22" i="3"/>
  <c r="BT22" i="3"/>
  <c r="BL22" i="3"/>
  <c r="BC23" i="3"/>
  <c r="BD23" i="3"/>
  <c r="BE23" i="3"/>
  <c r="BF23" i="3"/>
  <c r="BG23" i="3"/>
  <c r="BH23" i="3"/>
  <c r="BI23" i="3"/>
  <c r="BJ23" i="3"/>
  <c r="BK23" i="3"/>
  <c r="BN23" i="3"/>
  <c r="BP23" i="3"/>
  <c r="BR23" i="3"/>
  <c r="BT23" i="3"/>
  <c r="BL23" i="3"/>
  <c r="BC24" i="3"/>
  <c r="BD24" i="3"/>
  <c r="BE24" i="3"/>
  <c r="BF24" i="3"/>
  <c r="BG24" i="3"/>
  <c r="BH24" i="3"/>
  <c r="BI24" i="3"/>
  <c r="BJ24" i="3"/>
  <c r="BK24" i="3"/>
  <c r="BN24" i="3"/>
  <c r="BP24" i="3"/>
  <c r="BR24" i="3"/>
  <c r="BT24" i="3"/>
  <c r="BL24" i="3"/>
  <c r="BC25" i="3"/>
  <c r="BD25" i="3"/>
  <c r="BE25" i="3"/>
  <c r="BF25" i="3"/>
  <c r="BG25" i="3"/>
  <c r="BH25" i="3"/>
  <c r="BI25" i="3"/>
  <c r="BJ25" i="3"/>
  <c r="BK25" i="3"/>
  <c r="BN25" i="3"/>
  <c r="BP25" i="3"/>
  <c r="BR25" i="3"/>
  <c r="BT25" i="3"/>
  <c r="BL25" i="3"/>
  <c r="BC26" i="3"/>
  <c r="BD26" i="3"/>
  <c r="BE26" i="3"/>
  <c r="BF26" i="3"/>
  <c r="BG26" i="3"/>
  <c r="BH26" i="3"/>
  <c r="BI26" i="3"/>
  <c r="BJ26" i="3"/>
  <c r="BK26" i="3"/>
  <c r="BN26" i="3"/>
  <c r="BP26" i="3"/>
  <c r="BR26" i="3"/>
  <c r="BT26" i="3"/>
  <c r="BL26" i="3"/>
  <c r="BC27" i="3"/>
  <c r="BD27" i="3"/>
  <c r="BE27" i="3"/>
  <c r="BF27" i="3"/>
  <c r="BG27" i="3"/>
  <c r="BH27" i="3"/>
  <c r="BI27" i="3"/>
  <c r="BJ27" i="3"/>
  <c r="BK27" i="3"/>
  <c r="BN27" i="3"/>
  <c r="BP27" i="3"/>
  <c r="BR27" i="3"/>
  <c r="BT27" i="3"/>
  <c r="BL27" i="3"/>
  <c r="BC28" i="3"/>
  <c r="BD28" i="3"/>
  <c r="BE28" i="3"/>
  <c r="BF28" i="3"/>
  <c r="BG28" i="3"/>
  <c r="BH28" i="3"/>
  <c r="BI28" i="3"/>
  <c r="BJ28" i="3"/>
  <c r="BK28" i="3"/>
  <c r="BN28" i="3"/>
  <c r="BP28" i="3"/>
  <c r="BR28" i="3"/>
  <c r="BT28" i="3"/>
  <c r="BL28" i="3"/>
  <c r="BC29" i="3"/>
  <c r="BD29" i="3"/>
  <c r="BE29" i="3"/>
  <c r="BF29" i="3"/>
  <c r="BG29" i="3"/>
  <c r="BH29" i="3"/>
  <c r="BI29" i="3"/>
  <c r="BJ29" i="3"/>
  <c r="BK29" i="3"/>
  <c r="BN29" i="3"/>
  <c r="BP29" i="3"/>
  <c r="BR29" i="3"/>
  <c r="BT29" i="3"/>
  <c r="BL29" i="3"/>
  <c r="BC30" i="3"/>
  <c r="BD30" i="3"/>
  <c r="BE30" i="3"/>
  <c r="BF30" i="3"/>
  <c r="BG30" i="3"/>
  <c r="BH30" i="3"/>
  <c r="BI30" i="3"/>
  <c r="BJ30" i="3"/>
  <c r="BK30" i="3"/>
  <c r="BN30" i="3"/>
  <c r="BP30" i="3"/>
  <c r="BR30" i="3"/>
  <c r="BT30" i="3"/>
  <c r="BL30" i="3"/>
  <c r="BC31" i="3"/>
  <c r="BD31" i="3"/>
  <c r="BE31" i="3"/>
  <c r="BF31" i="3"/>
  <c r="BG31" i="3"/>
  <c r="BH31" i="3"/>
  <c r="BI31" i="3"/>
  <c r="BJ31" i="3"/>
  <c r="BK31" i="3"/>
  <c r="BN31" i="3"/>
  <c r="BP31" i="3"/>
  <c r="BR31" i="3"/>
  <c r="BT31" i="3"/>
  <c r="BL31" i="3"/>
  <c r="BC13" i="3"/>
  <c r="BD13" i="3"/>
  <c r="BE13" i="3"/>
  <c r="H13" i="3"/>
  <c r="H14" i="3"/>
  <c r="H15" i="3"/>
  <c r="H16" i="3"/>
  <c r="H17" i="3"/>
  <c r="H18" i="3"/>
  <c r="H19" i="3"/>
  <c r="H20" i="3"/>
  <c r="H21" i="3"/>
  <c r="H22" i="3"/>
  <c r="H23" i="3"/>
  <c r="H24" i="3"/>
  <c r="H25" i="3"/>
  <c r="H26" i="3"/>
  <c r="H27" i="3"/>
  <c r="H28" i="3"/>
  <c r="H29" i="3"/>
  <c r="H30" i="3"/>
  <c r="H31" i="3"/>
  <c r="K5" i="3"/>
  <c r="E19" i="6"/>
  <c r="C22" i="43"/>
  <c r="K52" i="43"/>
  <c r="D52" i="43"/>
  <c r="K53" i="43"/>
  <c r="D53" i="43"/>
  <c r="K50" i="43"/>
  <c r="D50" i="43"/>
  <c r="K51" i="43"/>
  <c r="D51" i="43"/>
  <c r="D54" i="43"/>
  <c r="K55" i="43"/>
  <c r="D55" i="43" s="1"/>
  <c r="K56" i="43"/>
  <c r="D56" i="43" s="1"/>
  <c r="K57" i="43"/>
  <c r="J57" i="43" s="1"/>
  <c r="D57" i="43"/>
  <c r="K58" i="43"/>
  <c r="D58" i="43"/>
  <c r="F37" i="43"/>
  <c r="F38" i="43"/>
  <c r="F39" i="43"/>
  <c r="F40" i="43"/>
  <c r="F41" i="43"/>
  <c r="F42" i="43"/>
  <c r="E36" i="77"/>
  <c r="B52" i="1"/>
  <c r="F34" i="15"/>
  <c r="E14" i="77" s="1"/>
  <c r="A6" i="1"/>
  <c r="C1" i="73"/>
  <c r="J1" i="73" s="1"/>
  <c r="C42" i="1"/>
  <c r="B35" i="1"/>
  <c r="N18" i="1"/>
  <c r="N20" i="1" s="1"/>
  <c r="C11" i="4"/>
  <c r="A7" i="1"/>
  <c r="B7" i="1" s="1"/>
  <c r="E7" i="1"/>
  <c r="A8" i="1"/>
  <c r="B8" i="1"/>
  <c r="E8" i="1" s="1"/>
  <c r="A9" i="1"/>
  <c r="B9" i="1" s="1"/>
  <c r="E9" i="1"/>
  <c r="A10" i="1"/>
  <c r="B10" i="1"/>
  <c r="E10" i="1" s="1"/>
  <c r="A11" i="1"/>
  <c r="B11" i="1" s="1"/>
  <c r="E11" i="1"/>
  <c r="A12" i="1"/>
  <c r="B12" i="1"/>
  <c r="E12" i="1" s="1"/>
  <c r="A13" i="1"/>
  <c r="B13" i="1" s="1"/>
  <c r="E13"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M6" i="79"/>
  <c r="P6" i="79" s="1"/>
  <c r="N6" i="79"/>
  <c r="U5" i="79" s="1"/>
  <c r="N5" i="79"/>
  <c r="N7" i="79"/>
  <c r="N8" i="79"/>
  <c r="N9" i="79"/>
  <c r="N10" i="79"/>
  <c r="N11" i="79"/>
  <c r="N12" i="79"/>
  <c r="N13" i="79"/>
  <c r="N14" i="79"/>
  <c r="N15" i="79"/>
  <c r="O6" i="79"/>
  <c r="V5" i="79" s="1"/>
  <c r="O5" i="79"/>
  <c r="O7" i="79"/>
  <c r="O8" i="79"/>
  <c r="O9" i="79"/>
  <c r="O10" i="79"/>
  <c r="O11" i="79"/>
  <c r="O12" i="79"/>
  <c r="O13" i="79"/>
  <c r="O14" i="79"/>
  <c r="O15" i="79"/>
  <c r="K7" i="79"/>
  <c r="K5" i="79"/>
  <c r="K8" i="79"/>
  <c r="K9" i="79"/>
  <c r="K10" i="79"/>
  <c r="K11" i="79"/>
  <c r="K12" i="79"/>
  <c r="K13" i="79"/>
  <c r="K14" i="79"/>
  <c r="K15" i="79"/>
  <c r="R5" i="79"/>
  <c r="M7" i="79"/>
  <c r="P7" i="79"/>
  <c r="M8" i="79"/>
  <c r="P8" i="79"/>
  <c r="M5" i="79"/>
  <c r="M9" i="79"/>
  <c r="M10" i="79"/>
  <c r="M11" i="79"/>
  <c r="M12" i="79"/>
  <c r="M13" i="79"/>
  <c r="M14" i="79"/>
  <c r="M15" i="79"/>
  <c r="B10" i="74"/>
  <c r="B8" i="74"/>
  <c r="E111" i="9"/>
  <c r="H112" i="9" s="1"/>
  <c r="C8" i="74" s="1"/>
  <c r="B7" i="74"/>
  <c r="E109" i="9"/>
  <c r="H109" i="9" s="1"/>
  <c r="H110" i="9" s="1"/>
  <c r="C7" i="74" s="1"/>
  <c r="B3" i="78"/>
  <c r="C7" i="78" s="1"/>
  <c r="D7" i="78" s="1"/>
  <c r="C6" i="78"/>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C30" i="77"/>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s="1"/>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T34" i="79"/>
  <c r="W34" i="79" s="1"/>
  <c r="L34" i="79"/>
  <c r="S34" i="79" s="1"/>
  <c r="I34" i="79"/>
  <c r="AD34" i="79" s="1"/>
  <c r="AB33" i="79"/>
  <c r="AA33" i="79"/>
  <c r="Z33" i="79"/>
  <c r="N33" i="79"/>
  <c r="U33" i="79"/>
  <c r="M33" i="79"/>
  <c r="T33" i="79"/>
  <c r="W33" i="79" s="1"/>
  <c r="L33" i="79"/>
  <c r="S33" i="79" s="1"/>
  <c r="I33" i="79"/>
  <c r="AD33" i="79" s="1"/>
  <c r="AB32" i="79"/>
  <c r="AA32" i="79"/>
  <c r="Z32" i="79"/>
  <c r="N32" i="79"/>
  <c r="U32" i="79"/>
  <c r="M32" i="79"/>
  <c r="T32" i="79"/>
  <c r="W32" i="79" s="1"/>
  <c r="L32" i="79"/>
  <c r="S32" i="79" s="1"/>
  <c r="I32" i="79"/>
  <c r="AD32" i="79" s="1"/>
  <c r="AB31" i="79"/>
  <c r="AA31" i="79"/>
  <c r="Z31" i="79"/>
  <c r="N31" i="79"/>
  <c r="U31" i="79"/>
  <c r="M31" i="79"/>
  <c r="T31" i="79"/>
  <c r="W31" i="79" s="1"/>
  <c r="L31" i="79"/>
  <c r="S31" i="79" s="1"/>
  <c r="I31" i="79"/>
  <c r="AD31" i="79" s="1"/>
  <c r="AB30" i="79"/>
  <c r="AA30" i="79"/>
  <c r="Z30" i="79"/>
  <c r="N30" i="79"/>
  <c r="U30" i="79"/>
  <c r="M30" i="79"/>
  <c r="L30" i="79"/>
  <c r="S30" i="79" s="1"/>
  <c r="I30" i="79"/>
  <c r="AD30" i="79" s="1"/>
  <c r="AB29" i="79"/>
  <c r="AB23" i="79" s="1"/>
  <c r="AA29" i="79"/>
  <c r="Z29" i="79"/>
  <c r="N29" i="79"/>
  <c r="U29" i="79"/>
  <c r="M29" i="79"/>
  <c r="L29" i="79"/>
  <c r="I29" i="79"/>
  <c r="AD29" i="79"/>
  <c r="AB25" i="79"/>
  <c r="AA25" i="79"/>
  <c r="Z25" i="79"/>
  <c r="N25" i="79"/>
  <c r="N23" i="79" s="1"/>
  <c r="M25" i="79"/>
  <c r="T25" i="79"/>
  <c r="W25" i="79" s="1"/>
  <c r="L25" i="79"/>
  <c r="I25" i="79"/>
  <c r="AD25" i="79"/>
  <c r="AA23" i="79"/>
  <c r="AD23" i="79" s="1"/>
  <c r="U23" i="79"/>
  <c r="T23" i="79"/>
  <c r="W23" i="79"/>
  <c r="M23" i="79"/>
  <c r="P23" i="79" s="1"/>
  <c r="L23" i="79"/>
  <c r="G23" i="79"/>
  <c r="F23" i="79"/>
  <c r="I23" i="79" s="1"/>
  <c r="E23" i="79"/>
  <c r="AC16" i="79"/>
  <c r="AB16" i="79"/>
  <c r="AA16" i="79"/>
  <c r="AD16" i="79"/>
  <c r="Z16" i="79"/>
  <c r="Y16" i="79"/>
  <c r="W16" i="79"/>
  <c r="M16" i="79"/>
  <c r="P16" i="79" s="1"/>
  <c r="O16" i="79"/>
  <c r="O3" i="79" s="1"/>
  <c r="N16" i="79"/>
  <c r="L16" i="79"/>
  <c r="L3" i="79" s="1"/>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s="1"/>
  <c r="Z13" i="79"/>
  <c r="Y13" i="79"/>
  <c r="V13" i="79"/>
  <c r="U13" i="79"/>
  <c r="P13" i="79"/>
  <c r="S13" i="79"/>
  <c r="R13" i="79"/>
  <c r="I13" i="79"/>
  <c r="AA12" i="79"/>
  <c r="AD12" i="79" s="1"/>
  <c r="AC12" i="79"/>
  <c r="AB12" i="79"/>
  <c r="Z12" i="79"/>
  <c r="Y12" i="79"/>
  <c r="V12" i="79"/>
  <c r="U12" i="79"/>
  <c r="T12" i="79"/>
  <c r="W12" i="79" s="1"/>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s="1"/>
  <c r="Z9" i="79"/>
  <c r="Y9" i="79"/>
  <c r="V9" i="79"/>
  <c r="U9" i="79"/>
  <c r="P9" i="79"/>
  <c r="S9" i="79"/>
  <c r="I9" i="79"/>
  <c r="AC5" i="79"/>
  <c r="AB5" i="79"/>
  <c r="AB3" i="79" s="1"/>
  <c r="AA5" i="79"/>
  <c r="AD5" i="79"/>
  <c r="Z5" i="79"/>
  <c r="Y5" i="79"/>
  <c r="Y3" i="79" s="1"/>
  <c r="P5" i="79"/>
  <c r="I5" i="79"/>
  <c r="AC3" i="79"/>
  <c r="AA3" i="79"/>
  <c r="AD3" i="79" s="1"/>
  <c r="Z3" i="79"/>
  <c r="V3" i="79"/>
  <c r="U3" i="79"/>
  <c r="T3" i="79"/>
  <c r="W3" i="79" s="1"/>
  <c r="S3" i="79"/>
  <c r="N3" i="79"/>
  <c r="K3" i="79"/>
  <c r="H3" i="79"/>
  <c r="G3" i="79"/>
  <c r="F3" i="79"/>
  <c r="I3" i="79"/>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E21" i="43" s="1"/>
  <c r="I15" i="4"/>
  <c r="AF6" i="1" s="1"/>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c r="P10" i="79"/>
  <c r="C27" i="43"/>
  <c r="C25" i="43" s="1"/>
  <c r="S6" i="43"/>
  <c r="S5" i="43"/>
  <c r="S4" i="43"/>
  <c r="S2" i="43"/>
  <c r="E93" i="43"/>
  <c r="B91" i="43"/>
  <c r="S3" i="43"/>
  <c r="H116" i="43"/>
  <c r="N1" i="43"/>
  <c r="M2" i="43"/>
  <c r="N2" i="43"/>
  <c r="M3" i="43"/>
  <c r="N3" i="43"/>
  <c r="N4" i="43"/>
  <c r="M5" i="43"/>
  <c r="N5" i="43"/>
  <c r="F93" i="43"/>
  <c r="N10" i="43"/>
  <c r="N11" i="43"/>
  <c r="M6" i="43"/>
  <c r="N6" i="43"/>
  <c r="M7" i="43"/>
  <c r="N7" i="43"/>
  <c r="M8" i="43"/>
  <c r="N8" i="43"/>
  <c r="M9" i="43"/>
  <c r="N9" i="43"/>
  <c r="M10" i="43"/>
  <c r="M11" i="43"/>
  <c r="M12" i="43"/>
  <c r="D21" i="43"/>
  <c r="G18" i="43"/>
  <c r="T9" i="79"/>
  <c r="W9" i="79"/>
  <c r="T11" i="79"/>
  <c r="W11" i="79"/>
  <c r="T13" i="79"/>
  <c r="W13" i="79"/>
  <c r="T15" i="79"/>
  <c r="W15" i="79"/>
  <c r="P25" i="79"/>
  <c r="P30" i="79"/>
  <c r="P32" i="79"/>
  <c r="P34" i="79"/>
  <c r="P29" i="79"/>
  <c r="P31" i="79"/>
  <c r="P33" i="79"/>
  <c r="P35" i="79"/>
  <c r="E25" i="78"/>
  <c r="E24" i="78"/>
  <c r="F23" i="78"/>
  <c r="F24" i="78"/>
  <c r="F25" i="78" s="1"/>
  <c r="G25" i="78" s="1"/>
  <c r="E23" i="78"/>
  <c r="G23" i="78" s="1"/>
  <c r="E22" i="78"/>
  <c r="G22" i="78"/>
  <c r="F12" i="78"/>
  <c r="F11" i="78"/>
  <c r="D6" i="78"/>
  <c r="H100" i="43"/>
  <c r="H97" i="43"/>
  <c r="H95" i="43"/>
  <c r="H94" i="43"/>
  <c r="H98" i="43"/>
  <c r="H93" i="43"/>
  <c r="H101" i="43"/>
  <c r="H99" i="43"/>
  <c r="H96" i="43"/>
  <c r="G24" i="78"/>
  <c r="B15" i="78"/>
  <c r="G14" i="73"/>
  <c r="F14" i="73"/>
  <c r="E14" i="73"/>
  <c r="G15" i="73"/>
  <c r="F15" i="73"/>
  <c r="E15" i="73"/>
  <c r="G16" i="73"/>
  <c r="F16" i="73"/>
  <c r="E16" i="73"/>
  <c r="G13" i="73"/>
  <c r="F13" i="73"/>
  <c r="E13" i="73"/>
  <c r="AH8" i="71"/>
  <c r="AG8" i="71"/>
  <c r="AE8" i="71"/>
  <c r="AF8" i="71" s="1"/>
  <c r="AD8" i="71"/>
  <c r="Q8" i="71"/>
  <c r="P8" i="71"/>
  <c r="O8" i="71"/>
  <c r="N8" i="71"/>
  <c r="R43" i="77"/>
  <c r="R40" i="77"/>
  <c r="F36" i="77"/>
  <c r="R34" i="77"/>
  <c r="R33" i="77"/>
  <c r="R27" i="77"/>
  <c r="M24" i="77"/>
  <c r="R23" i="77"/>
  <c r="R22" i="77"/>
  <c r="R21" i="77"/>
  <c r="N19" i="77"/>
  <c r="R18" i="77"/>
  <c r="R17" i="77"/>
  <c r="R16" i="77"/>
  <c r="M14" i="77"/>
  <c r="N14" i="77"/>
  <c r="R13" i="77"/>
  <c r="R12" i="77"/>
  <c r="R11" i="77"/>
  <c r="R10" i="77"/>
  <c r="R9" i="77"/>
  <c r="R8" i="77"/>
  <c r="R7" i="77"/>
  <c r="R4" i="77"/>
  <c r="R3" i="77"/>
  <c r="R14" i="77"/>
  <c r="R25" i="77"/>
  <c r="AH9" i="71"/>
  <c r="AG9" i="71"/>
  <c r="AE9" i="71"/>
  <c r="AF9" i="71"/>
  <c r="AD9" i="71"/>
  <c r="Q9" i="71"/>
  <c r="P9" i="71"/>
  <c r="O9" i="71"/>
  <c r="N9" i="71"/>
  <c r="R19"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AA10" i="71" s="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O10" i="71"/>
  <c r="O11" i="71"/>
  <c r="O12" i="71"/>
  <c r="O13" i="71"/>
  <c r="O14" i="71"/>
  <c r="O15" i="71"/>
  <c r="O16" i="71"/>
  <c r="O17" i="71"/>
  <c r="O18" i="71"/>
  <c r="O19" i="71"/>
  <c r="O20" i="71"/>
  <c r="O21" i="71"/>
  <c r="O22" i="71"/>
  <c r="O23" i="71"/>
  <c r="O24" i="71"/>
  <c r="C24" i="71" s="1"/>
  <c r="O25" i="71"/>
  <c r="O26" i="71"/>
  <c r="O27" i="71"/>
  <c r="O28" i="71"/>
  <c r="O29" i="71"/>
  <c r="O30" i="71"/>
  <c r="O31" i="71"/>
  <c r="O32" i="71"/>
  <c r="O33" i="71"/>
  <c r="O34" i="71"/>
  <c r="O35" i="71"/>
  <c r="O36" i="71"/>
  <c r="O37" i="71"/>
  <c r="O38" i="71"/>
  <c r="O39" i="71"/>
  <c r="Y9" i="71"/>
  <c r="Z9" i="71" s="1"/>
  <c r="N10" i="71"/>
  <c r="N11" i="71"/>
  <c r="N12" i="71"/>
  <c r="N13" i="71"/>
  <c r="N14" i="71"/>
  <c r="N15" i="71"/>
  <c r="N16" i="71"/>
  <c r="N17" i="71"/>
  <c r="N18" i="71"/>
  <c r="X13" i="71" s="1"/>
  <c r="N19" i="71"/>
  <c r="N20" i="71"/>
  <c r="N21" i="71"/>
  <c r="N22" i="71"/>
  <c r="N23" i="71"/>
  <c r="N24" i="71"/>
  <c r="B24" i="71" s="1"/>
  <c r="B23" i="71" s="1"/>
  <c r="B22" i="71" s="1"/>
  <c r="B21" i="71" s="1"/>
  <c r="B20" i="71" s="1"/>
  <c r="B19" i="71" s="1"/>
  <c r="B18" i="71" s="1"/>
  <c r="B17" i="71" s="1"/>
  <c r="B16" i="71" s="1"/>
  <c r="N25" i="71"/>
  <c r="N26" i="71"/>
  <c r="N27" i="71"/>
  <c r="N28" i="71"/>
  <c r="N29" i="71"/>
  <c r="N30" i="71"/>
  <c r="N31" i="71"/>
  <c r="N32" i="71"/>
  <c r="N33" i="71"/>
  <c r="N34" i="71"/>
  <c r="N35" i="71"/>
  <c r="N36" i="71"/>
  <c r="N37" i="71"/>
  <c r="N38" i="71"/>
  <c r="N39" i="71"/>
  <c r="X9" i="71"/>
  <c r="E24" i="71"/>
  <c r="E23" i="71"/>
  <c r="E22" i="71" s="1"/>
  <c r="E21" i="71" s="1"/>
  <c r="E20" i="71" s="1"/>
  <c r="E19" i="71" s="1"/>
  <c r="E18" i="71" s="1"/>
  <c r="E17" i="71" s="1"/>
  <c r="E16" i="71" s="1"/>
  <c r="C23" i="71"/>
  <c r="C22" i="71" s="1"/>
  <c r="C21" i="71"/>
  <c r="C20" i="71" s="1"/>
  <c r="C19" i="71" s="1"/>
  <c r="C18" i="71" s="1"/>
  <c r="C17" i="71" s="1"/>
  <c r="E24" i="43"/>
  <c r="P32" i="43" s="1"/>
  <c r="N32" i="43"/>
  <c r="AH11" i="71"/>
  <c r="AG11" i="71"/>
  <c r="AE11" i="71"/>
  <c r="AF11" i="71" s="1"/>
  <c r="AD11" i="71"/>
  <c r="AH12" i="71"/>
  <c r="AG12" i="71"/>
  <c r="AE12" i="71"/>
  <c r="AF12" i="71" s="1"/>
  <c r="AD12" i="71"/>
  <c r="AH13" i="71"/>
  <c r="AG13" i="71"/>
  <c r="AE13" i="71"/>
  <c r="AF13" i="71"/>
  <c r="AD13" i="71"/>
  <c r="AB12" i="71"/>
  <c r="Y12" i="71"/>
  <c r="Z12" i="71" s="1"/>
  <c r="X12" i="71"/>
  <c r="H16" i="49"/>
  <c r="D16" i="49"/>
  <c r="D15" i="49"/>
  <c r="B2" i="49"/>
  <c r="F15" i="49" s="1"/>
  <c r="H15" i="49" s="1"/>
  <c r="K42" i="40"/>
  <c r="K47" i="39"/>
  <c r="K36" i="36"/>
  <c r="E59" i="9"/>
  <c r="K38" i="35"/>
  <c r="K42" i="37"/>
  <c r="K49" i="34"/>
  <c r="K48" i="33"/>
  <c r="K48" i="21"/>
  <c r="H104" i="9"/>
  <c r="F59" i="9"/>
  <c r="AH14" i="71"/>
  <c r="AG14" i="71"/>
  <c r="AE14" i="71"/>
  <c r="AF14" i="71"/>
  <c r="AD14" i="71"/>
  <c r="AB13" i="71"/>
  <c r="Y13" i="71"/>
  <c r="Z13" i="71" s="1"/>
  <c r="AH15" i="71"/>
  <c r="AG15" i="71"/>
  <c r="AE15" i="71"/>
  <c r="AF15" i="71" s="1"/>
  <c r="AD15" i="71"/>
  <c r="AB14" i="71"/>
  <c r="AA14" i="71"/>
  <c r="Y14" i="71"/>
  <c r="Z14" i="71"/>
  <c r="X14" i="71"/>
  <c r="AB18" i="71"/>
  <c r="AB17" i="71"/>
  <c r="AA17" i="71"/>
  <c r="Y17" i="71"/>
  <c r="Z17" i="71"/>
  <c r="X17" i="71"/>
  <c r="AH16" i="71"/>
  <c r="AG16" i="71"/>
  <c r="AE16" i="71"/>
  <c r="AF16" i="71" s="1"/>
  <c r="AD16" i="71"/>
  <c r="AB15" i="71"/>
  <c r="AA15" i="71"/>
  <c r="X15" i="71"/>
  <c r="F24" i="71"/>
  <c r="F23" i="71" s="1"/>
  <c r="F22" i="71" s="1"/>
  <c r="F21" i="71" s="1"/>
  <c r="F20" i="71" s="1"/>
  <c r="F19" i="71" s="1"/>
  <c r="F18" i="71" s="1"/>
  <c r="F17" i="71" s="1"/>
  <c r="AH17" i="71"/>
  <c r="AG17" i="71"/>
  <c r="AE17" i="71"/>
  <c r="AF17" i="71"/>
  <c r="AD17" i="71"/>
  <c r="AH18" i="71"/>
  <c r="AG18" i="71"/>
  <c r="AE18" i="71"/>
  <c r="AF18" i="71" s="1"/>
  <c r="AD18" i="71"/>
  <c r="F24" i="12"/>
  <c r="F7" i="69"/>
  <c r="F7" i="68"/>
  <c r="AH19" i="71"/>
  <c r="AG19" i="71"/>
  <c r="AE19" i="71"/>
  <c r="AF19" i="71" s="1"/>
  <c r="AD19" i="71"/>
  <c r="AA18" i="71"/>
  <c r="Y18" i="71"/>
  <c r="X18" i="71"/>
  <c r="AD20" i="71"/>
  <c r="AH20" i="71"/>
  <c r="AG20" i="71"/>
  <c r="AE20" i="71"/>
  <c r="AF20" i="71"/>
  <c r="L3" i="71"/>
  <c r="AH3" i="71"/>
  <c r="K3" i="71"/>
  <c r="AG3" i="71"/>
  <c r="J3" i="71"/>
  <c r="AE3" i="71"/>
  <c r="I3" i="71"/>
  <c r="AH21" i="71"/>
  <c r="AG21" i="71"/>
  <c r="AE21" i="71"/>
  <c r="AF21" i="71" s="1"/>
  <c r="AD21" i="71"/>
  <c r="AA21" i="71"/>
  <c r="X21" i="71"/>
  <c r="AH22" i="71"/>
  <c r="AG22" i="71"/>
  <c r="AE22" i="71"/>
  <c r="AF22" i="71"/>
  <c r="AD22" i="71"/>
  <c r="AB21" i="71"/>
  <c r="AA22" i="71"/>
  <c r="Y21" i="71"/>
  <c r="Z21" i="71" s="1"/>
  <c r="D25" i="71"/>
  <c r="AH23" i="71"/>
  <c r="AG23" i="71"/>
  <c r="AE23" i="71"/>
  <c r="AF23" i="71"/>
  <c r="AD23" i="71"/>
  <c r="AD24" i="71"/>
  <c r="AG24" i="71"/>
  <c r="AH24" i="71"/>
  <c r="AE24" i="71"/>
  <c r="AF24" i="71"/>
  <c r="X22" i="71"/>
  <c r="AB23" i="71"/>
  <c r="AA23" i="71"/>
  <c r="Y22" i="71"/>
  <c r="Z22" i="71" s="1"/>
  <c r="Y23" i="71"/>
  <c r="Z23" i="71" s="1"/>
  <c r="V24" i="71"/>
  <c r="AB24" i="71"/>
  <c r="Y24" i="71"/>
  <c r="Z24" i="71" s="1"/>
  <c r="X24" i="71"/>
  <c r="AA24" i="71"/>
  <c r="A2" i="53"/>
  <c r="K59" i="67"/>
  <c r="P61" i="67"/>
  <c r="K59" i="15"/>
  <c r="P74" i="15"/>
  <c r="D115" i="39"/>
  <c r="E115" i="39"/>
  <c r="F115" i="39"/>
  <c r="G115" i="39"/>
  <c r="H115" i="39"/>
  <c r="I115" i="39"/>
  <c r="J115" i="39"/>
  <c r="K115" i="39"/>
  <c r="L115" i="39"/>
  <c r="M115" i="39"/>
  <c r="C115" i="39"/>
  <c r="A21" i="62"/>
  <c r="B67" i="72" s="1"/>
  <c r="A20" i="62"/>
  <c r="A22" i="51"/>
  <c r="A21" i="51"/>
  <c r="A20" i="51"/>
  <c r="A14" i="62"/>
  <c r="A13" i="62"/>
  <c r="B59" i="72" s="1"/>
  <c r="A19" i="62"/>
  <c r="A12" i="62"/>
  <c r="B58" i="72"/>
  <c r="A120" i="9"/>
  <c r="H2" i="52"/>
  <c r="A1" i="52"/>
  <c r="A3" i="53"/>
  <c r="A15" i="51"/>
  <c r="B12" i="72" s="1"/>
  <c r="C76" i="9"/>
  <c r="I107" i="40"/>
  <c r="K6" i="4"/>
  <c r="M56" i="9" s="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L1" i="73"/>
  <c r="B74" i="72"/>
  <c r="K49" i="9"/>
  <c r="E107" i="9"/>
  <c r="A122" i="9" s="1"/>
  <c r="A8" i="52" s="1"/>
  <c r="B54" i="72" s="1"/>
  <c r="A126" i="9"/>
  <c r="A12" i="52" s="1"/>
  <c r="B56" i="72" s="1"/>
  <c r="A124" i="9"/>
  <c r="A10" i="52"/>
  <c r="B55" i="72" s="1"/>
  <c r="B44" i="72"/>
  <c r="B42" i="72"/>
  <c r="B69" i="72"/>
  <c r="B68" i="72"/>
  <c r="B63" i="72"/>
  <c r="B62" i="72"/>
  <c r="B16" i="72"/>
  <c r="B65" i="72"/>
  <c r="B60" i="72"/>
  <c r="B66" i="72"/>
  <c r="B10" i="72"/>
  <c r="C53" i="10"/>
  <c r="B51" i="10"/>
  <c r="B19" i="72"/>
  <c r="A18" i="51"/>
  <c r="B13" i="72" s="1"/>
  <c r="C8" i="68"/>
  <c r="B49" i="48"/>
  <c r="B5" i="72"/>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O53" i="71"/>
  <c r="C54" i="71"/>
  <c r="Q53" i="71"/>
  <c r="F54" i="71"/>
  <c r="F55" i="71" s="1"/>
  <c r="F56" i="71" s="1"/>
  <c r="V56" i="71" s="1"/>
  <c r="P53" i="71"/>
  <c r="E54" i="71" s="1"/>
  <c r="E55" i="71" s="1"/>
  <c r="E56" i="71" s="1"/>
  <c r="U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c r="N41" i="71"/>
  <c r="B42" i="71"/>
  <c r="B43" i="71" s="1"/>
  <c r="B44" i="71" s="1"/>
  <c r="S44" i="71" s="1"/>
  <c r="D41" i="71"/>
  <c r="Q40" i="71"/>
  <c r="P40" i="71"/>
  <c r="O40" i="71"/>
  <c r="N40" i="71"/>
  <c r="AB39" i="71"/>
  <c r="AA39" i="71"/>
  <c r="Y39" i="71"/>
  <c r="Z39" i="71"/>
  <c r="X39" i="71"/>
  <c r="AB38" i="71"/>
  <c r="Y38" i="71"/>
  <c r="Z38" i="71"/>
  <c r="F38" i="71"/>
  <c r="F39" i="71"/>
  <c r="F40" i="71" s="1"/>
  <c r="V40" i="71" s="1"/>
  <c r="D37" i="71"/>
  <c r="AB36" i="71"/>
  <c r="Y36" i="71"/>
  <c r="Z36" i="71"/>
  <c r="AB35" i="71"/>
  <c r="Y35" i="71"/>
  <c r="Z35" i="71" s="1"/>
  <c r="AB34" i="71"/>
  <c r="Y34" i="71"/>
  <c r="Z34" i="71"/>
  <c r="F34" i="71"/>
  <c r="F35" i="71"/>
  <c r="F36" i="71" s="1"/>
  <c r="V36" i="71" s="1"/>
  <c r="D33" i="71"/>
  <c r="AB32" i="71"/>
  <c r="Y32" i="71"/>
  <c r="Z32" i="71"/>
  <c r="AB31" i="71"/>
  <c r="Y31" i="71"/>
  <c r="Z31" i="71" s="1"/>
  <c r="AB30" i="71"/>
  <c r="Y30" i="71"/>
  <c r="Z30" i="71"/>
  <c r="F30" i="71"/>
  <c r="F31" i="71"/>
  <c r="F32" i="71" s="1"/>
  <c r="V32" i="71" s="1"/>
  <c r="D29" i="71"/>
  <c r="B30" i="71"/>
  <c r="B31" i="71" s="1"/>
  <c r="B32" i="71" s="1"/>
  <c r="S32" i="71" s="1"/>
  <c r="X29" i="71"/>
  <c r="E30" i="71"/>
  <c r="E31" i="71"/>
  <c r="E32" i="71" s="1"/>
  <c r="U32" i="71" s="1"/>
  <c r="AA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E59" i="71"/>
  <c r="E60" i="71" s="1"/>
  <c r="U60" i="71" s="1"/>
  <c r="U68" i="71"/>
  <c r="E67" i="71"/>
  <c r="P67" i="71" s="1"/>
  <c r="C55" i="71"/>
  <c r="D54" i="71"/>
  <c r="C59" i="71"/>
  <c r="D58"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c r="E26" i="71" s="1"/>
  <c r="AA3" i="71"/>
  <c r="AA25" i="71"/>
  <c r="AA26" i="71"/>
  <c r="AA27" i="71"/>
  <c r="AA28" i="71"/>
  <c r="D28" i="71"/>
  <c r="U28" i="71"/>
  <c r="C66" i="71"/>
  <c r="O67" i="71"/>
  <c r="D67" i="71"/>
  <c r="D83" i="71"/>
  <c r="C82" i="71"/>
  <c r="D82" i="71"/>
  <c r="D75" i="71"/>
  <c r="C74" i="71"/>
  <c r="D74" i="71" s="1"/>
  <c r="D87" i="71"/>
  <c r="D79" i="71"/>
  <c r="C78" i="71"/>
  <c r="D78" i="71" s="1"/>
  <c r="D71" i="71"/>
  <c r="C70" i="71"/>
  <c r="D70" i="71"/>
  <c r="C60" i="71"/>
  <c r="D59" i="71"/>
  <c r="C56" i="71"/>
  <c r="D55"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8" i="43" s="1"/>
  <c r="B77" i="43"/>
  <c r="B57" i="43"/>
  <c r="B68" i="43"/>
  <c r="C29" i="39"/>
  <c r="S25" i="40"/>
  <c r="S18" i="36"/>
  <c r="U18" i="36"/>
  <c r="S21" i="34"/>
  <c r="H25" i="40"/>
  <c r="J25" i="40"/>
  <c r="H29" i="39"/>
  <c r="AB29" i="39"/>
  <c r="J29" i="39"/>
  <c r="AC29" i="39"/>
  <c r="J18" i="36"/>
  <c r="H18" i="35"/>
  <c r="AB18" i="35" s="1"/>
  <c r="S18" i="35"/>
  <c r="J18" i="35"/>
  <c r="F77" i="37"/>
  <c r="G77" i="37" s="1"/>
  <c r="H21" i="37"/>
  <c r="F21" i="37"/>
  <c r="AA21" i="37" s="1"/>
  <c r="H21" i="34"/>
  <c r="AB21" i="34" s="1"/>
  <c r="F83" i="33"/>
  <c r="E83" i="21"/>
  <c r="S21" i="21"/>
  <c r="H1" i="69"/>
  <c r="AC25" i="40"/>
  <c r="W25" i="40"/>
  <c r="AB25" i="40"/>
  <c r="U25" i="40"/>
  <c r="U29" i="39"/>
  <c r="W29" i="39"/>
  <c r="AC18" i="36"/>
  <c r="W18" i="36"/>
  <c r="AB21" i="37"/>
  <c r="U21" i="37"/>
  <c r="S21" i="37"/>
  <c r="U21" i="34"/>
  <c r="U21" i="33"/>
  <c r="S21" i="33"/>
  <c r="U18" i="35"/>
  <c r="AC18" i="35"/>
  <c r="W18" i="35"/>
  <c r="J21" i="37"/>
  <c r="AC21" i="37" s="1"/>
  <c r="J21" i="34"/>
  <c r="AC21" i="34" s="1"/>
  <c r="G83" i="33"/>
  <c r="F83" i="21"/>
  <c r="H21" i="21"/>
  <c r="F38" i="69"/>
  <c r="E37" i="69"/>
  <c r="F36" i="69"/>
  <c r="F40" i="69"/>
  <c r="F39" i="69"/>
  <c r="E10" i="69"/>
  <c r="E9" i="69"/>
  <c r="W21" i="37"/>
  <c r="W21" i="34"/>
  <c r="W21" i="33"/>
  <c r="AB21" i="21"/>
  <c r="U21" i="21"/>
  <c r="G83" i="21"/>
  <c r="J21" i="21"/>
  <c r="F38" i="68"/>
  <c r="E37" i="68"/>
  <c r="F36" i="68"/>
  <c r="F40" i="68"/>
  <c r="F39" i="68"/>
  <c r="E10" i="68"/>
  <c r="E9" i="68"/>
  <c r="W21" i="21"/>
  <c r="AC21" i="21"/>
  <c r="Q72" i="67"/>
  <c r="Q59" i="67"/>
  <c r="Q58" i="67"/>
  <c r="Q51" i="67"/>
  <c r="J50" i="67"/>
  <c r="M47" i="67"/>
  <c r="D46" i="67"/>
  <c r="F33" i="67"/>
  <c r="F61" i="67" s="1"/>
  <c r="D24" i="67"/>
  <c r="M19" i="67"/>
  <c r="F18" i="67"/>
  <c r="F17" i="67"/>
  <c r="S2" i="4"/>
  <c r="C51" i="10" s="1"/>
  <c r="A13" i="51"/>
  <c r="B11" i="72" s="1"/>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J58" i="43"/>
  <c r="M57" i="43"/>
  <c r="N57" i="43"/>
  <c r="M56" i="43"/>
  <c r="N56" i="43"/>
  <c r="J56" i="43"/>
  <c r="M55" i="43"/>
  <c r="N55" i="43" s="1"/>
  <c r="J55" i="43"/>
  <c r="M54" i="43"/>
  <c r="N54" i="43"/>
  <c r="K54" i="43"/>
  <c r="J54" i="43"/>
  <c r="M53" i="43"/>
  <c r="N53" i="43"/>
  <c r="J53" i="43"/>
  <c r="M52" i="43"/>
  <c r="N52" i="43" s="1"/>
  <c r="J52" i="43"/>
  <c r="M51" i="43"/>
  <c r="N51" i="43"/>
  <c r="J51" i="43"/>
  <c r="M50" i="43"/>
  <c r="N50" i="43" s="1"/>
  <c r="J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B481" i="3"/>
  <c r="BC481" i="3"/>
  <c r="BA481" i="3" s="1"/>
  <c r="AZ481" i="3" s="1"/>
  <c r="BD481" i="3"/>
  <c r="BE481" i="3"/>
  <c r="BF481" i="3"/>
  <c r="BG481" i="3"/>
  <c r="BH481" i="3"/>
  <c r="BI481" i="3"/>
  <c r="BJ481" i="3"/>
  <c r="BK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B469" i="3"/>
  <c r="BC469" i="3"/>
  <c r="BD469" i="3"/>
  <c r="BE469" i="3"/>
  <c r="BF469" i="3"/>
  <c r="BG469" i="3"/>
  <c r="BH469" i="3"/>
  <c r="BI469" i="3"/>
  <c r="BJ469" i="3"/>
  <c r="BK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B462" i="3"/>
  <c r="BC462" i="3"/>
  <c r="BD462" i="3"/>
  <c r="BE462" i="3"/>
  <c r="BF462" i="3"/>
  <c r="BG462" i="3"/>
  <c r="BH462" i="3"/>
  <c r="BI462" i="3"/>
  <c r="BJ462" i="3"/>
  <c r="BK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B459" i="3"/>
  <c r="BC459" i="3"/>
  <c r="BA459" i="3" s="1"/>
  <c r="AZ459" i="3" s="1"/>
  <c r="BD459" i="3"/>
  <c r="BE459" i="3"/>
  <c r="BF459" i="3"/>
  <c r="BG459" i="3"/>
  <c r="BH459" i="3"/>
  <c r="BI459" i="3"/>
  <c r="BJ459" i="3"/>
  <c r="BK459" i="3"/>
  <c r="AX459" i="3"/>
  <c r="AW459" i="3"/>
  <c r="AV459" i="3"/>
  <c r="AC459" i="3"/>
  <c r="H459" i="3"/>
  <c r="G459" i="3"/>
  <c r="BT458" i="3"/>
  <c r="BS458" i="3"/>
  <c r="BR458" i="3"/>
  <c r="BQ458" i="3"/>
  <c r="BP458" i="3"/>
  <c r="BO458" i="3"/>
  <c r="BN458" i="3"/>
  <c r="BM458" i="3"/>
  <c r="BL458" i="3" s="1"/>
  <c r="BB458" i="3"/>
  <c r="BC458" i="3"/>
  <c r="BD458" i="3"/>
  <c r="BE458" i="3"/>
  <c r="BF458" i="3"/>
  <c r="BG458" i="3"/>
  <c r="BH458" i="3"/>
  <c r="BI458" i="3"/>
  <c r="BJ458" i="3"/>
  <c r="BK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B454" i="3"/>
  <c r="BC454" i="3"/>
  <c r="BA454" i="3" s="1"/>
  <c r="AZ454" i="3" s="1"/>
  <c r="BD454" i="3"/>
  <c r="BE454" i="3"/>
  <c r="BF454" i="3"/>
  <c r="BG454" i="3"/>
  <c r="BH454" i="3"/>
  <c r="BI454" i="3"/>
  <c r="BJ454" i="3"/>
  <c r="BK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c r="BT450" i="3"/>
  <c r="BS450" i="3"/>
  <c r="BR450" i="3"/>
  <c r="BQ450" i="3"/>
  <c r="BP450" i="3"/>
  <c r="BO450" i="3"/>
  <c r="BN450" i="3"/>
  <c r="BM450" i="3"/>
  <c r="BL450" i="3" s="1"/>
  <c r="BB450" i="3"/>
  <c r="BC450" i="3"/>
  <c r="BD450" i="3"/>
  <c r="BE450" i="3"/>
  <c r="BF450" i="3"/>
  <c r="BG450" i="3"/>
  <c r="BH450" i="3"/>
  <c r="BI450" i="3"/>
  <c r="BJ450" i="3"/>
  <c r="BK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B446" i="3"/>
  <c r="BC446" i="3"/>
  <c r="BD446" i="3"/>
  <c r="BE446" i="3"/>
  <c r="BF446" i="3"/>
  <c r="BG446" i="3"/>
  <c r="BH446" i="3"/>
  <c r="BI446" i="3"/>
  <c r="BJ446" i="3"/>
  <c r="BK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B443" i="3"/>
  <c r="BC443" i="3"/>
  <c r="BA443" i="3" s="1"/>
  <c r="AZ443" i="3" s="1"/>
  <c r="BD443" i="3"/>
  <c r="BE443" i="3"/>
  <c r="BF443" i="3"/>
  <c r="BG443" i="3"/>
  <c r="BH443" i="3"/>
  <c r="BI443" i="3"/>
  <c r="BJ443" i="3"/>
  <c r="BK443" i="3"/>
  <c r="AX443" i="3"/>
  <c r="AW443" i="3"/>
  <c r="AV443" i="3"/>
  <c r="AC443" i="3"/>
  <c r="H443" i="3"/>
  <c r="G443" i="3"/>
  <c r="BT442" i="3"/>
  <c r="BS442" i="3"/>
  <c r="BR442" i="3"/>
  <c r="BQ442" i="3"/>
  <c r="BP442" i="3"/>
  <c r="BO442" i="3"/>
  <c r="BN442" i="3"/>
  <c r="BM442" i="3"/>
  <c r="BL442" i="3" s="1"/>
  <c r="BB442" i="3"/>
  <c r="BC442" i="3"/>
  <c r="BD442" i="3"/>
  <c r="BE442" i="3"/>
  <c r="BF442" i="3"/>
  <c r="BG442" i="3"/>
  <c r="BH442" i="3"/>
  <c r="BI442" i="3"/>
  <c r="BJ442" i="3"/>
  <c r="BK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B438" i="3"/>
  <c r="BC438" i="3"/>
  <c r="BA438" i="3" s="1"/>
  <c r="AZ438" i="3" s="1"/>
  <c r="BD438" i="3"/>
  <c r="BE438" i="3"/>
  <c r="BF438" i="3"/>
  <c r="BG438" i="3"/>
  <c r="BH438" i="3"/>
  <c r="BI438" i="3"/>
  <c r="BJ438" i="3"/>
  <c r="BK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c r="BT434" i="3"/>
  <c r="BS434" i="3"/>
  <c r="BR434" i="3"/>
  <c r="BQ434" i="3"/>
  <c r="BP434" i="3"/>
  <c r="BO434" i="3"/>
  <c r="BN434" i="3"/>
  <c r="BM434" i="3"/>
  <c r="BL434" i="3" s="1"/>
  <c r="BB434" i="3"/>
  <c r="BC434" i="3"/>
  <c r="BD434" i="3"/>
  <c r="BE434" i="3"/>
  <c r="BF434" i="3"/>
  <c r="BG434" i="3"/>
  <c r="BH434" i="3"/>
  <c r="BI434" i="3"/>
  <c r="BJ434" i="3"/>
  <c r="BK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B422" i="3"/>
  <c r="BC422" i="3"/>
  <c r="BD422" i="3"/>
  <c r="BE422" i="3"/>
  <c r="BF422" i="3"/>
  <c r="BG422" i="3"/>
  <c r="BH422" i="3"/>
  <c r="BI422" i="3"/>
  <c r="BJ422" i="3"/>
  <c r="BK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B419" i="3"/>
  <c r="BC419" i="3"/>
  <c r="BA419" i="3" s="1"/>
  <c r="AZ419" i="3" s="1"/>
  <c r="BD419" i="3"/>
  <c r="BE419" i="3"/>
  <c r="BF419" i="3"/>
  <c r="BG419" i="3"/>
  <c r="BH419" i="3"/>
  <c r="BI419" i="3"/>
  <c r="BJ419" i="3"/>
  <c r="BK419" i="3"/>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B406" i="3"/>
  <c r="BC406" i="3"/>
  <c r="BA406" i="3" s="1"/>
  <c r="AZ406" i="3" s="1"/>
  <c r="BD406" i="3"/>
  <c r="BE406" i="3"/>
  <c r="BF406" i="3"/>
  <c r="BG406" i="3"/>
  <c r="BH406" i="3"/>
  <c r="BI406" i="3"/>
  <c r="BJ406" i="3"/>
  <c r="BK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B403" i="3"/>
  <c r="BC403" i="3"/>
  <c r="BD403" i="3"/>
  <c r="BE403" i="3"/>
  <c r="BF403" i="3"/>
  <c r="BG403" i="3"/>
  <c r="BH403" i="3"/>
  <c r="BI403" i="3"/>
  <c r="BJ403" i="3"/>
  <c r="BK403" i="3"/>
  <c r="BA403" i="3"/>
  <c r="AZ403" i="3" s="1"/>
  <c r="AX403" i="3"/>
  <c r="AW403" i="3"/>
  <c r="AV403" i="3"/>
  <c r="AC403" i="3"/>
  <c r="H403" i="3"/>
  <c r="G403" i="3" s="1"/>
  <c r="BT402" i="3"/>
  <c r="BS402" i="3"/>
  <c r="BR402" i="3"/>
  <c r="BQ402" i="3"/>
  <c r="BP402" i="3"/>
  <c r="BO402" i="3"/>
  <c r="BN402" i="3"/>
  <c r="BM402" i="3"/>
  <c r="BL402" i="3"/>
  <c r="BB402" i="3"/>
  <c r="BC402" i="3"/>
  <c r="BA402" i="3" s="1"/>
  <c r="AZ402" i="3" s="1"/>
  <c r="BD402" i="3"/>
  <c r="BE402" i="3"/>
  <c r="BF402" i="3"/>
  <c r="BG402" i="3"/>
  <c r="BH402" i="3"/>
  <c r="BI402" i="3"/>
  <c r="BJ402" i="3"/>
  <c r="BK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c r="B13" i="53"/>
  <c r="B29" i="72"/>
  <c r="R35" i="4"/>
  <c r="Q35" i="4"/>
  <c r="P35" i="4"/>
  <c r="O35" i="4"/>
  <c r="N35" i="4"/>
  <c r="M35" i="4"/>
  <c r="L35" i="4"/>
  <c r="K34" i="4"/>
  <c r="T34" i="4" s="1"/>
  <c r="G13" i="1"/>
  <c r="H15" i="4"/>
  <c r="F9" i="1"/>
  <c r="G9" i="1" s="1"/>
  <c r="G15" i="4"/>
  <c r="F12" i="1"/>
  <c r="F15" i="4"/>
  <c r="F11" i="1"/>
  <c r="G11" i="1"/>
  <c r="F7" i="1"/>
  <c r="G7" i="1"/>
  <c r="C15" i="4"/>
  <c r="G6" i="1"/>
  <c r="L21" i="4"/>
  <c r="F19" i="4"/>
  <c r="F2" i="52"/>
  <c r="B50" i="72"/>
  <c r="D2" i="52"/>
  <c r="B46" i="72"/>
  <c r="B8" i="53"/>
  <c r="B23" i="72"/>
  <c r="L4" i="9"/>
  <c r="B17" i="72"/>
  <c r="B15" i="72"/>
  <c r="A3" i="51"/>
  <c r="C8" i="11"/>
  <c r="B40" i="48"/>
  <c r="B3" i="72" s="1"/>
  <c r="F35" i="4"/>
  <c r="J55" i="39" s="1"/>
  <c r="H38" i="43"/>
  <c r="H39" i="43"/>
  <c r="H40" i="43"/>
  <c r="H41" i="43"/>
  <c r="H42" i="43"/>
  <c r="H37" i="43"/>
  <c r="J24" i="43"/>
  <c r="C10" i="43"/>
  <c r="C11" i="43"/>
  <c r="C9" i="43"/>
  <c r="F33" i="15"/>
  <c r="F61" i="15" s="1"/>
  <c r="M19" i="15"/>
  <c r="BR13" i="3"/>
  <c r="G41" i="69"/>
  <c r="B43" i="1"/>
  <c r="D78" i="9"/>
  <c r="BQ13" i="3"/>
  <c r="BS13" i="3"/>
  <c r="BT13" i="3"/>
  <c r="BO13" i="3"/>
  <c r="BN13" i="3"/>
  <c r="BP13" i="3"/>
  <c r="E20" i="6"/>
  <c r="E21" i="6"/>
  <c r="K8" i="1"/>
  <c r="M8" i="1"/>
  <c r="D24" i="15"/>
  <c r="E22" i="6"/>
  <c r="E23" i="6"/>
  <c r="K10" i="1"/>
  <c r="M10" i="1" s="1"/>
  <c r="O10" i="1"/>
  <c r="P10" i="1"/>
  <c r="E24" i="6"/>
  <c r="E25" i="6"/>
  <c r="E26" i="6"/>
  <c r="BF13" i="3"/>
  <c r="BG13" i="3"/>
  <c r="BH13" i="3"/>
  <c r="BI13" i="3"/>
  <c r="BJ13" i="3"/>
  <c r="BK13" i="3"/>
  <c r="BD10" i="3"/>
  <c r="BB10" i="3"/>
  <c r="AC13" i="3"/>
  <c r="AC14" i="3"/>
  <c r="AC15" i="3"/>
  <c r="AC16"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I55" i="9"/>
  <c r="F55" i="9"/>
  <c r="O53" i="9"/>
  <c r="D89" i="9"/>
  <c r="C89" i="9"/>
  <c r="C87" i="9" s="1"/>
  <c r="G12" i="1"/>
  <c r="J55" i="9"/>
  <c r="B31" i="1"/>
  <c r="M20" i="15"/>
  <c r="T4" i="1"/>
  <c r="F17" i="15"/>
  <c r="F18"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BA548" i="3"/>
  <c r="AZ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s="1"/>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F41" i="2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D108" i="39"/>
  <c r="F34" i="39"/>
  <c r="AA34" i="39" s="1"/>
  <c r="D106" i="39"/>
  <c r="E106" i="39" s="1"/>
  <c r="D104" i="39"/>
  <c r="E104" i="39" s="1"/>
  <c r="F104" i="39" s="1"/>
  <c r="G104" i="39" s="1"/>
  <c r="H104" i="39" s="1"/>
  <c r="I104" i="39" s="1"/>
  <c r="J104" i="39" s="1"/>
  <c r="K104" i="39" s="1"/>
  <c r="L104" i="39" s="1"/>
  <c r="M104" i="39" s="1"/>
  <c r="D100" i="39"/>
  <c r="D98" i="39"/>
  <c r="E98" i="39"/>
  <c r="F98" i="39" s="1"/>
  <c r="G98" i="39" s="1"/>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H35" i="39"/>
  <c r="AB35" i="39"/>
  <c r="B103" i="39"/>
  <c r="D96" i="39"/>
  <c r="J23" i="39"/>
  <c r="AC23" i="39"/>
  <c r="D94" i="39"/>
  <c r="E94" i="39"/>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E121" i="33"/>
  <c r="F109" i="33"/>
  <c r="E109" i="33"/>
  <c r="D109" i="33"/>
  <c r="C109" i="33"/>
  <c r="E91" i="33"/>
  <c r="B88" i="33"/>
  <c r="C23" i="33"/>
  <c r="C19" i="33"/>
  <c r="C17" i="33"/>
  <c r="C15" i="33"/>
  <c r="C15" i="21"/>
  <c r="D117" i="33"/>
  <c r="E117" i="33"/>
  <c r="F117" i="33" s="1"/>
  <c r="G117" i="33" s="1"/>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E101" i="33"/>
  <c r="B92" i="33"/>
  <c r="B90" i="33"/>
  <c r="E85" i="33"/>
  <c r="E79"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P47" i="33"/>
  <c r="Q46" i="33"/>
  <c r="Z46" i="33"/>
  <c r="Q45" i="33"/>
  <c r="Z45" i="33"/>
  <c r="Q44" i="33"/>
  <c r="Z44" i="33"/>
  <c r="Q43" i="33"/>
  <c r="Z43" i="33"/>
  <c r="Q42" i="33"/>
  <c r="Z42" i="33"/>
  <c r="W41" i="33"/>
  <c r="Q41" i="33"/>
  <c r="Z41" i="33" s="1"/>
  <c r="Q40" i="33"/>
  <c r="Z40" i="33" s="1"/>
  <c r="J40" i="33"/>
  <c r="AC40" i="33" s="1"/>
  <c r="H40" i="33"/>
  <c r="AB40" i="33" s="1"/>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0" i="43" s="1"/>
  <c r="G19" i="20"/>
  <c r="B87" i="43" s="1"/>
  <c r="G16" i="20"/>
  <c r="B84" i="43" s="1"/>
  <c r="G15" i="20"/>
  <c r="B83" i="43" s="1"/>
  <c r="B75" i="43"/>
  <c r="B76" i="43"/>
  <c r="B79" i="43"/>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A585" i="3" s="1"/>
  <c r="AZ585" i="3" s="1"/>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c r="U9" i="36"/>
  <c r="W28" i="36"/>
  <c r="U31" i="36"/>
  <c r="J33" i="36"/>
  <c r="AC33" i="36" s="1"/>
  <c r="H22" i="35"/>
  <c r="AB22" i="35" s="1"/>
  <c r="AC27" i="35"/>
  <c r="W28" i="35"/>
  <c r="U31" i="35"/>
  <c r="W22" i="35"/>
  <c r="S31" i="35"/>
  <c r="F36" i="34"/>
  <c r="J35" i="34"/>
  <c r="U34" i="34"/>
  <c r="U35" i="33"/>
  <c r="S40"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F14" i="35"/>
  <c r="AA14" i="35" s="1"/>
  <c r="F23" i="35"/>
  <c r="AA23" i="35" s="1"/>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s="1"/>
  <c r="S38" i="33"/>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11" i="33"/>
  <c r="AB11" i="33"/>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J10" i="36"/>
  <c r="AC10" i="36"/>
  <c r="AB30" i="21"/>
  <c r="AA14" i="37"/>
  <c r="W31" i="34"/>
  <c r="AC13" i="36"/>
  <c r="S11" i="36"/>
  <c r="AB46" i="34"/>
  <c r="AC30" i="34"/>
  <c r="AA14" i="34"/>
  <c r="S45" i="33"/>
  <c r="AB45" i="33"/>
  <c r="AB31" i="33"/>
  <c r="U31" i="33"/>
  <c r="W29" i="33"/>
  <c r="AC28" i="21"/>
  <c r="S44" i="34"/>
  <c r="BA586"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Q581" i="3"/>
  <c r="BL581" i="3" s="1"/>
  <c r="AZ581" i="3" s="1"/>
  <c r="BA579" i="3"/>
  <c r="BA577" i="3"/>
  <c r="BA575" i="3"/>
  <c r="BA573" i="3"/>
  <c r="BA571" i="3"/>
  <c r="BA569" i="3"/>
  <c r="BA567" i="3"/>
  <c r="BA565" i="3"/>
  <c r="BA563" i="3"/>
  <c r="BA561" i="3"/>
  <c r="AZ561" i="3" s="1"/>
  <c r="BA559" i="3"/>
  <c r="BA555" i="3"/>
  <c r="AZ555" i="3" s="1"/>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BA517" i="3"/>
  <c r="BA515" i="3"/>
  <c r="BA513" i="3"/>
  <c r="BA511" i="3"/>
  <c r="BA507" i="3"/>
  <c r="BA505" i="3"/>
  <c r="AZ505" i="3" s="1"/>
  <c r="BA503" i="3"/>
  <c r="BA501" i="3"/>
  <c r="BA499" i="3"/>
  <c r="BA497" i="3"/>
  <c r="BA495" i="3"/>
  <c r="BA493" i="3"/>
  <c r="AZ560" i="3"/>
  <c r="G583" i="3"/>
  <c r="G581" i="3"/>
  <c r="G579" i="3"/>
  <c r="G577" i="3"/>
  <c r="G575" i="3"/>
  <c r="G573" i="3"/>
  <c r="G571" i="3"/>
  <c r="G569" i="3"/>
  <c r="G567" i="3"/>
  <c r="G565" i="3"/>
  <c r="G563" i="3"/>
  <c r="G561" i="3"/>
  <c r="BA557" i="3"/>
  <c r="AZ557" i="3" s="1"/>
  <c r="BQ557" i="3"/>
  <c r="BL557" i="3"/>
  <c r="AC557" i="3"/>
  <c r="G557" i="3" s="1"/>
  <c r="BQ583" i="3"/>
  <c r="BL583" i="3" s="1"/>
  <c r="AZ583" i="3" s="1"/>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BQ559" i="3"/>
  <c r="BL559" i="3" s="1"/>
  <c r="AZ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BQ539" i="3"/>
  <c r="BL539" i="3" s="1"/>
  <c r="AZ539" i="3" s="1"/>
  <c r="BQ537" i="3"/>
  <c r="BL537" i="3"/>
  <c r="BQ535" i="3"/>
  <c r="BL535" i="3" s="1"/>
  <c r="AZ535" i="3" s="1"/>
  <c r="BQ533" i="3"/>
  <c r="BL533" i="3"/>
  <c r="BQ531" i="3"/>
  <c r="BL531" i="3" s="1"/>
  <c r="AZ531" i="3" s="1"/>
  <c r="BQ529" i="3"/>
  <c r="BL529" i="3"/>
  <c r="BQ527" i="3"/>
  <c r="BL527" i="3" s="1"/>
  <c r="AZ527" i="3" s="1"/>
  <c r="BQ525" i="3"/>
  <c r="BL525" i="3"/>
  <c r="BQ523" i="3"/>
  <c r="BL523" i="3" s="1"/>
  <c r="AZ523" i="3" s="1"/>
  <c r="BA521" i="3"/>
  <c r="BQ521" i="3"/>
  <c r="BL521" i="3" s="1"/>
  <c r="AZ521" i="3" s="1"/>
  <c r="AC521" i="3"/>
  <c r="G521" i="3"/>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17" i="37"/>
  <c r="U17" i="37"/>
  <c r="AB27" i="37"/>
  <c r="U32" i="33"/>
  <c r="AA36" i="39"/>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s="1"/>
  <c r="I107" i="37"/>
  <c r="J107" i="37" s="1"/>
  <c r="K107" i="37" s="1"/>
  <c r="L107" i="37" s="1"/>
  <c r="M107" i="37" s="1"/>
  <c r="H37" i="21"/>
  <c r="U37" i="2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61" i="43"/>
  <c r="H64" i="4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K5" i="3"/>
  <c r="BI5" i="3"/>
  <c r="BG5" i="3"/>
  <c r="BE5" i="3"/>
  <c r="BC5" i="3"/>
  <c r="AZ350" i="3"/>
  <c r="AZ352" i="3"/>
  <c r="AZ360" i="3"/>
  <c r="AZ368" i="3"/>
  <c r="AZ384" i="3"/>
  <c r="AZ392" i="3"/>
  <c r="AZ396" i="3"/>
  <c r="AZ394" i="3"/>
  <c r="AZ499" i="3"/>
  <c r="AZ509" i="3"/>
  <c r="G509" i="3"/>
  <c r="BL493" i="3"/>
  <c r="AZ493" i="3" s="1"/>
  <c r="AZ491" i="3"/>
  <c r="AZ376" i="3"/>
  <c r="AZ382" i="3"/>
  <c r="U36" i="40"/>
  <c r="F83" i="43"/>
  <c r="H85" i="43"/>
  <c r="F50" i="43"/>
  <c r="H54" i="43"/>
  <c r="F72" i="43"/>
  <c r="H75" i="43"/>
  <c r="U17" i="39"/>
  <c r="S14" i="35"/>
  <c r="U43" i="21"/>
  <c r="U35" i="21"/>
  <c r="AC35" i="21"/>
  <c r="G8" i="1"/>
  <c r="G10" i="1"/>
  <c r="AC11" i="39"/>
  <c r="AZ563" i="3"/>
  <c r="AZ501" i="3"/>
  <c r="W37" i="37"/>
  <c r="W44" i="34"/>
  <c r="AC44" i="34"/>
  <c r="S15" i="37"/>
  <c r="U13" i="37"/>
  <c r="U12" i="40"/>
  <c r="AA12" i="40"/>
  <c r="AC17" i="34"/>
  <c r="F106" i="33"/>
  <c r="G106" i="33" s="1"/>
  <c r="H106" i="33" s="1"/>
  <c r="I106" i="33" s="1"/>
  <c r="J106" i="33" s="1"/>
  <c r="K106" i="33" s="1"/>
  <c r="L106" i="33" s="1"/>
  <c r="M106" i="33" s="1"/>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S34" i="33"/>
  <c r="U34"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P6" i="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35" i="3"/>
  <c r="AZ41" i="3"/>
  <c r="AZ80" i="3"/>
  <c r="AZ84" i="3"/>
  <c r="AZ88" i="3"/>
  <c r="AZ107" i="3"/>
  <c r="AZ111" i="3"/>
  <c r="K12" i="1"/>
  <c r="M12" i="1"/>
  <c r="S13" i="1"/>
  <c r="AR13" i="1"/>
  <c r="R13" i="1"/>
  <c r="J51" i="67"/>
  <c r="B41" i="1"/>
  <c r="F48" i="9"/>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F121" i="33"/>
  <c r="G121" i="33"/>
  <c r="H121" i="33" s="1"/>
  <c r="I121" i="33" s="1"/>
  <c r="J121" i="33" s="1"/>
  <c r="K121" i="33" s="1"/>
  <c r="L121" i="33" s="1"/>
  <c r="M121" i="33" s="1"/>
  <c r="G111" i="33"/>
  <c r="G108" i="33"/>
  <c r="H108" i="33" s="1"/>
  <c r="I108" i="33" s="1"/>
  <c r="J108" i="33" s="1"/>
  <c r="K108" i="33" s="1"/>
  <c r="L108" i="33" s="1"/>
  <c r="M108" i="33" s="1"/>
  <c r="S39" i="33"/>
  <c r="F101" i="33"/>
  <c r="G101" i="33"/>
  <c r="H101" i="33" s="1"/>
  <c r="I101" i="33" s="1"/>
  <c r="J101" i="33" s="1"/>
  <c r="K101" i="33" s="1"/>
  <c r="L101" i="33" s="1"/>
  <c r="M101" i="33" s="1"/>
  <c r="S46" i="33"/>
  <c r="W43" i="33"/>
  <c r="S43" i="33"/>
  <c r="F91" i="33"/>
  <c r="F87" i="33"/>
  <c r="F85" i="33"/>
  <c r="S19" i="33"/>
  <c r="W19" i="33"/>
  <c r="F79" i="33"/>
  <c r="S15" i="33"/>
  <c r="W15" i="33"/>
  <c r="U9" i="33"/>
  <c r="J10" i="33"/>
  <c r="W10" i="33"/>
  <c r="H10" i="33"/>
  <c r="U10" i="33"/>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62" i="15"/>
  <c r="BL13" i="3"/>
  <c r="BL5" i="3" s="1"/>
  <c r="J56" i="9"/>
  <c r="J57" i="9" s="1"/>
  <c r="J59" i="9" s="1"/>
  <c r="J61" i="9" s="1"/>
  <c r="A24" i="51"/>
  <c r="B18" i="72" s="1"/>
  <c r="U29" i="34"/>
  <c r="E5" i="6"/>
  <c r="E32" i="6"/>
  <c r="K1" i="12"/>
  <c r="E19" i="69"/>
  <c r="E19" i="68"/>
  <c r="E19" i="11"/>
  <c r="G22" i="69"/>
  <c r="G22" i="68"/>
  <c r="G26" i="12"/>
  <c r="G22" i="11"/>
  <c r="B19" i="53"/>
  <c r="B37" i="72"/>
  <c r="C7" i="39"/>
  <c r="C67" i="39"/>
  <c r="C7" i="35"/>
  <c r="C7" i="33"/>
  <c r="E7" i="33" s="1"/>
  <c r="G7" i="33" s="1"/>
  <c r="I7" i="33" s="1"/>
  <c r="C7" i="21"/>
  <c r="C7" i="40"/>
  <c r="C63" i="40" s="1"/>
  <c r="M47" i="9"/>
  <c r="C46" i="36"/>
  <c r="D46" i="36"/>
  <c r="E46" i="36" s="1"/>
  <c r="C52" i="37"/>
  <c r="D52" i="37" s="1"/>
  <c r="A4" i="51"/>
  <c r="B6" i="72" s="1"/>
  <c r="C48" i="35"/>
  <c r="D48" i="35" s="1"/>
  <c r="E48" i="35" s="1"/>
  <c r="H67" i="43"/>
  <c r="L20" i="6"/>
  <c r="K11" i="1"/>
  <c r="M11" i="1" s="1"/>
  <c r="O11" i="1"/>
  <c r="K7" i="1"/>
  <c r="M7" i="1"/>
  <c r="O7" i="1"/>
  <c r="P7"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F30" i="68"/>
  <c r="F48" i="68"/>
  <c r="F30" i="11"/>
  <c r="C48" i="11"/>
  <c r="F28" i="67"/>
  <c r="C28" i="67"/>
  <c r="F31" i="12"/>
  <c r="F52" i="9"/>
  <c r="M18" i="67"/>
  <c r="F32" i="67"/>
  <c r="F60" i="67" s="1"/>
  <c r="F30" i="69"/>
  <c r="F48" i="69" s="1"/>
  <c r="F32" i="15"/>
  <c r="F60" i="15" s="1"/>
  <c r="M18" i="15"/>
  <c r="F28" i="15"/>
  <c r="C28" i="15" s="1"/>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s="1"/>
  <c r="G63" i="37"/>
  <c r="H11" i="37"/>
  <c r="AB11" i="37"/>
  <c r="G70" i="34"/>
  <c r="H11" i="34"/>
  <c r="U11" i="34" s="1"/>
  <c r="J10" i="34"/>
  <c r="AC10" i="34" s="1"/>
  <c r="W35" i="33"/>
  <c r="H111" i="33"/>
  <c r="I111" i="33" s="1"/>
  <c r="J111" i="33" s="1"/>
  <c r="K111" i="33" s="1"/>
  <c r="L111" i="33" s="1"/>
  <c r="M111" i="33" s="1"/>
  <c r="W36" i="33"/>
  <c r="S36" i="33"/>
  <c r="W32" i="33"/>
  <c r="G91" i="33"/>
  <c r="H91" i="33"/>
  <c r="I91" i="33" s="1"/>
  <c r="J91" i="33" s="1"/>
  <c r="K91" i="33" s="1"/>
  <c r="L91" i="33" s="1"/>
  <c r="M91" i="33" s="1"/>
  <c r="U25" i="33"/>
  <c r="S25" i="33"/>
  <c r="G87" i="33"/>
  <c r="H87" i="33" s="1"/>
  <c r="I87" i="33" s="1"/>
  <c r="J87" i="33" s="1"/>
  <c r="K87" i="33" s="1"/>
  <c r="L87" i="33" s="1"/>
  <c r="M87" i="33" s="1"/>
  <c r="U23" i="33"/>
  <c r="G85" i="33"/>
  <c r="W23" i="33"/>
  <c r="G79" i="33"/>
  <c r="W17" i="33"/>
  <c r="S37" i="21"/>
  <c r="AA23" i="21"/>
  <c r="AB15" i="21"/>
  <c r="J23" i="21"/>
  <c r="F85" i="21"/>
  <c r="G85" i="21" s="1"/>
  <c r="H23" i="21"/>
  <c r="AB23" i="21" s="1"/>
  <c r="S13" i="21"/>
  <c r="D6" i="52"/>
  <c r="AP7" i="1"/>
  <c r="AB45" i="21"/>
  <c r="AB9" i="21"/>
  <c r="U9" i="21"/>
  <c r="AA32" i="21"/>
  <c r="S32" i="21"/>
  <c r="W9" i="21"/>
  <c r="AC9" i="21"/>
  <c r="AB32" i="21"/>
  <c r="U32" i="21"/>
  <c r="K120" i="9"/>
  <c r="A18" i="62" s="1"/>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W25" i="33"/>
  <c r="S23" i="33"/>
  <c r="U19" i="33"/>
  <c r="U23" i="21"/>
  <c r="AC23" i="21"/>
  <c r="W23" i="21"/>
  <c r="D16" i="53"/>
  <c r="B34" i="72" s="1"/>
  <c r="D21" i="53"/>
  <c r="B39" i="72" s="1"/>
  <c r="H111" i="9"/>
  <c r="D126" i="9" s="1"/>
  <c r="D19" i="53"/>
  <c r="B38" i="72" s="1"/>
  <c r="AD3" i="71"/>
  <c r="H69" i="43"/>
  <c r="H50" i="43"/>
  <c r="C24" i="12"/>
  <c r="D22" i="71"/>
  <c r="D23" i="71"/>
  <c r="D24" i="71"/>
  <c r="U24" i="71" s="1"/>
  <c r="S24" i="71"/>
  <c r="T24" i="71"/>
  <c r="AB22" i="71"/>
  <c r="X20" i="71"/>
  <c r="X19" i="71"/>
  <c r="AA20" i="71"/>
  <c r="AA19" i="71"/>
  <c r="X23" i="71"/>
  <c r="Z18" i="71"/>
  <c r="Y19" i="71"/>
  <c r="Z19" i="71"/>
  <c r="AB20" i="71"/>
  <c r="AB19" i="71"/>
  <c r="S20" i="71"/>
  <c r="Y20" i="71"/>
  <c r="Z20" i="71" s="1"/>
  <c r="X3" i="71"/>
  <c r="V20" i="71"/>
  <c r="D21" i="71"/>
  <c r="D18" i="71"/>
  <c r="T20" i="71"/>
  <c r="D19" i="71"/>
  <c r="D20" i="71"/>
  <c r="U20" i="71" s="1"/>
  <c r="C19" i="68"/>
  <c r="C30" i="68"/>
  <c r="C48" i="68"/>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L19" i="6"/>
  <c r="L27" i="6" s="1"/>
  <c r="O6" i="1"/>
  <c r="T13" i="1"/>
  <c r="C58" i="21"/>
  <c r="C58" i="33"/>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J84" i="43"/>
  <c r="J85" i="43"/>
  <c r="J86" i="43"/>
  <c r="J87" i="43"/>
  <c r="J88" i="43"/>
  <c r="J89" i="43"/>
  <c r="J90" i="43"/>
  <c r="D83" i="43"/>
  <c r="E83" i="43" s="1"/>
  <c r="B81" i="43" s="1"/>
  <c r="D66" i="43"/>
  <c r="D64" i="43"/>
  <c r="D62" i="43"/>
  <c r="D67" i="43"/>
  <c r="D65" i="43"/>
  <c r="D63" i="43"/>
  <c r="D69" i="43"/>
  <c r="D73" i="43"/>
  <c r="D75" i="43"/>
  <c r="D79" i="43"/>
  <c r="D22" i="67"/>
  <c r="AQ13" i="1"/>
  <c r="P6" i="1"/>
  <c r="C13" i="12"/>
  <c r="P11" i="1"/>
  <c r="D9" i="11"/>
  <c r="C9" i="11"/>
  <c r="D19" i="12"/>
  <c r="C19" i="12" s="1"/>
  <c r="O9" i="1"/>
  <c r="P9" i="1"/>
  <c r="O12" i="1"/>
  <c r="P12" i="1"/>
  <c r="O8" i="1"/>
  <c r="P8" i="1"/>
  <c r="H73" i="43"/>
  <c r="H90" i="43"/>
  <c r="I18" i="43"/>
  <c r="E17" i="43" s="1"/>
  <c r="C17" i="43"/>
  <c r="H55" i="43"/>
  <c r="H86" i="43"/>
  <c r="H87" i="43"/>
  <c r="H89" i="43"/>
  <c r="H88" i="43"/>
  <c r="H84" i="43"/>
  <c r="C69" i="39"/>
  <c r="D67" i="39"/>
  <c r="D69" i="39" s="1"/>
  <c r="T35" i="4"/>
  <c r="A19" i="51" s="1"/>
  <c r="B14" i="72" s="1"/>
  <c r="D18" i="53"/>
  <c r="B35" i="72"/>
  <c r="H52" i="43"/>
  <c r="K5" i="4"/>
  <c r="B47" i="48" s="1"/>
  <c r="Y8" i="71"/>
  <c r="Z8" i="71" s="1"/>
  <c r="X8" i="71"/>
  <c r="AB8" i="71"/>
  <c r="AA8" i="71"/>
  <c r="D20" i="53"/>
  <c r="B40" i="72" s="1"/>
  <c r="H76" i="43"/>
  <c r="H72" i="43"/>
  <c r="H63" i="43"/>
  <c r="H61" i="43"/>
  <c r="H53" i="43"/>
  <c r="H79" i="43"/>
  <c r="D17" i="53"/>
  <c r="B36" i="72" s="1"/>
  <c r="D124" i="9"/>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D58" i="21"/>
  <c r="D58" i="33"/>
  <c r="E58" i="33"/>
  <c r="F58" i="33" s="1"/>
  <c r="G58" i="33" s="1"/>
  <c r="H58" i="33" s="1"/>
  <c r="I58" i="33" s="1"/>
  <c r="J58" i="33" s="1"/>
  <c r="K58" i="33" s="1"/>
  <c r="L58" i="33" s="1"/>
  <c r="M58" i="33" s="1"/>
  <c r="N58" i="33" s="1"/>
  <c r="O58" i="33" s="1"/>
  <c r="Y16" i="71"/>
  <c r="Z16" i="71"/>
  <c r="Y15" i="71"/>
  <c r="Z15" i="71"/>
  <c r="AA16" i="71"/>
  <c r="AB3" i="71"/>
  <c r="X16" i="71"/>
  <c r="AB16" i="71"/>
  <c r="Y3" i="71"/>
  <c r="Z3" i="71" s="1"/>
  <c r="F16" i="71"/>
  <c r="F15" i="71" s="1"/>
  <c r="F14" i="71" s="1"/>
  <c r="F13" i="71" s="1"/>
  <c r="F12" i="71" s="1"/>
  <c r="F11" i="71" s="1"/>
  <c r="F10" i="71" s="1"/>
  <c r="F9" i="71" s="1"/>
  <c r="F8" i="71" s="1"/>
  <c r="F7" i="71" s="1"/>
  <c r="F6" i="71" s="1"/>
  <c r="F5" i="71" s="1"/>
  <c r="AF3" i="71"/>
  <c r="E61" i="43"/>
  <c r="B59" i="43" s="1"/>
  <c r="E67" i="39"/>
  <c r="F67" i="39" s="1"/>
  <c r="AA26" i="35"/>
  <c r="S26" i="35"/>
  <c r="AC26" i="35"/>
  <c r="W26" i="35"/>
  <c r="AB26" i="35"/>
  <c r="U26" i="35"/>
  <c r="E72" i="43"/>
  <c r="B70" i="43"/>
  <c r="C7" i="43"/>
  <c r="D10" i="52"/>
  <c r="D125" i="9"/>
  <c r="D11" i="52"/>
  <c r="F59" i="67"/>
  <c r="H7" i="33"/>
  <c r="F48" i="35"/>
  <c r="F7" i="33"/>
  <c r="E58" i="21"/>
  <c r="M17" i="67"/>
  <c r="M17" i="15"/>
  <c r="F59" i="15"/>
  <c r="AE11" i="1"/>
  <c r="AE9" i="1"/>
  <c r="AE7" i="1"/>
  <c r="AE8" i="1"/>
  <c r="AE12" i="1"/>
  <c r="AE10" i="1"/>
  <c r="AG11" i="1"/>
  <c r="AG9" i="1"/>
  <c r="AG10" i="1"/>
  <c r="AG8" i="1"/>
  <c r="AG12" i="1"/>
  <c r="AG7" i="1"/>
  <c r="S8" i="1"/>
  <c r="E8" i="70"/>
  <c r="O14" i="1"/>
  <c r="O16" i="1" s="1"/>
  <c r="D3" i="33"/>
  <c r="G67" i="39"/>
  <c r="F69" i="39"/>
  <c r="F58" i="21"/>
  <c r="S7" i="33"/>
  <c r="AA7" i="33"/>
  <c r="G48" i="35"/>
  <c r="U7" i="33"/>
  <c r="AB7" i="33"/>
  <c r="S11" i="1"/>
  <c r="E11" i="70"/>
  <c r="S9" i="1"/>
  <c r="AR9" i="1" s="1"/>
  <c r="AQ8" i="1"/>
  <c r="T8" i="1"/>
  <c r="AR8" i="1"/>
  <c r="S7" i="1"/>
  <c r="E7" i="70"/>
  <c r="S10" i="1"/>
  <c r="T10" i="1" s="1"/>
  <c r="E10" i="70"/>
  <c r="S12" i="1"/>
  <c r="B2" i="74"/>
  <c r="P14" i="1"/>
  <c r="P16" i="1" s="1"/>
  <c r="C11" i="12" s="1"/>
  <c r="H67" i="39"/>
  <c r="G69" i="39"/>
  <c r="H48" i="35"/>
  <c r="G58" i="21"/>
  <c r="R7" i="1"/>
  <c r="E12" i="70"/>
  <c r="F34" i="11"/>
  <c r="F11" i="12"/>
  <c r="E9" i="70"/>
  <c r="AQ9" i="1"/>
  <c r="AQ11" i="1"/>
  <c r="AR11" i="1"/>
  <c r="T11" i="1"/>
  <c r="AR12" i="1"/>
  <c r="T12" i="1"/>
  <c r="AQ12" i="1"/>
  <c r="AQ10" i="1"/>
  <c r="AR10" i="1"/>
  <c r="AR7" i="1"/>
  <c r="AQ7" i="1"/>
  <c r="T7" i="1"/>
  <c r="R11" i="1"/>
  <c r="R9" i="1"/>
  <c r="R10" i="1"/>
  <c r="D8" i="74"/>
  <c r="D7" i="74"/>
  <c r="R8" i="1"/>
  <c r="R12" i="1"/>
  <c r="H69" i="39"/>
  <c r="I67" i="39"/>
  <c r="I69" i="39" s="1"/>
  <c r="I48" i="35"/>
  <c r="H58" i="21"/>
  <c r="C36" i="11"/>
  <c r="C23" i="12"/>
  <c r="C19" i="69"/>
  <c r="J67" i="39"/>
  <c r="J69" i="39" s="1"/>
  <c r="I58" i="21"/>
  <c r="J58" i="21" s="1"/>
  <c r="J48" i="35"/>
  <c r="K67" i="39"/>
  <c r="K69" i="39" s="1"/>
  <c r="K48" i="35"/>
  <c r="L48" i="35" s="1"/>
  <c r="L67" i="39"/>
  <c r="L69" i="39" s="1"/>
  <c r="M67" i="39"/>
  <c r="N67" i="39" s="1"/>
  <c r="M69" i="39"/>
  <c r="B2" i="21"/>
  <c r="B2" i="36"/>
  <c r="B3" i="36" s="1"/>
  <c r="B2" i="35"/>
  <c r="B3" i="35" s="1"/>
  <c r="B2" i="37"/>
  <c r="B2" i="34"/>
  <c r="S6" i="79"/>
  <c r="T6" i="79"/>
  <c r="U6" i="79"/>
  <c r="V6" i="79"/>
  <c r="W6" i="79"/>
  <c r="S7" i="79"/>
  <c r="T7" i="79"/>
  <c r="W7" i="79" s="1"/>
  <c r="U7" i="79"/>
  <c r="V7" i="79"/>
  <c r="S8" i="79"/>
  <c r="T8" i="79"/>
  <c r="U8" i="79"/>
  <c r="V8" i="79"/>
  <c r="W8" i="79"/>
  <c r="R8" i="79"/>
  <c r="R7" i="79"/>
  <c r="R6" i="79"/>
  <c r="U28" i="79"/>
  <c r="S28" i="79"/>
  <c r="U27" i="79"/>
  <c r="S27" i="79"/>
  <c r="U26" i="79"/>
  <c r="S26" i="79"/>
  <c r="T28" i="79"/>
  <c r="W28" i="79" s="1"/>
  <c r="T27" i="79"/>
  <c r="W27" i="79" s="1"/>
  <c r="T26" i="79"/>
  <c r="W26" i="79" s="1"/>
  <c r="F36" i="67"/>
  <c r="D5" i="73"/>
  <c r="M28" i="67"/>
  <c r="M26" i="67"/>
  <c r="E11" i="76"/>
  <c r="L47" i="67"/>
  <c r="B12" i="76"/>
  <c r="F37" i="67"/>
  <c r="G1" i="73"/>
  <c r="F6" i="67"/>
  <c r="E9" i="76"/>
  <c r="F6" i="73"/>
  <c r="AO11" i="1"/>
  <c r="D6" i="73"/>
  <c r="E12" i="76"/>
  <c r="AO12" i="1"/>
  <c r="F9" i="67"/>
  <c r="M8" i="67"/>
  <c r="D3" i="73"/>
  <c r="D4" i="73"/>
  <c r="E8" i="76"/>
  <c r="D2" i="85"/>
  <c r="F40" i="67"/>
  <c r="L48" i="67"/>
  <c r="F13" i="67"/>
  <c r="E13" i="76"/>
  <c r="C76" i="67"/>
  <c r="AO8" i="1"/>
  <c r="B8" i="76"/>
  <c r="D2" i="33"/>
  <c r="F26" i="67"/>
  <c r="F41" i="67"/>
  <c r="F38" i="67"/>
  <c r="F8" i="67"/>
  <c r="M9" i="67"/>
  <c r="D35" i="9"/>
  <c r="B9" i="76"/>
  <c r="E10" i="76"/>
  <c r="B13" i="76"/>
  <c r="D2" i="36"/>
  <c r="AO13" i="1"/>
  <c r="E2" i="68"/>
  <c r="B11" i="76"/>
  <c r="E2" i="69"/>
  <c r="AO10" i="1"/>
  <c r="F16" i="67"/>
  <c r="F42" i="67"/>
  <c r="B10" i="76"/>
  <c r="D7" i="73"/>
  <c r="AO7" i="1"/>
  <c r="F5" i="73"/>
  <c r="F3" i="73"/>
  <c r="AO9" i="1"/>
  <c r="D2" i="34"/>
  <c r="F4" i="73"/>
  <c r="J15" i="67"/>
  <c r="E7" i="76"/>
  <c r="B7" i="76"/>
  <c r="D2" i="37"/>
  <c r="F7" i="73"/>
  <c r="D2" i="35"/>
  <c r="D2" i="21"/>
  <c r="D34" i="9"/>
  <c r="W9" i="85" l="1"/>
  <c r="M24" i="67"/>
  <c r="M23" i="67"/>
  <c r="M22" i="67"/>
  <c r="J38" i="33"/>
  <c r="AB38" i="33"/>
  <c r="U38" i="33"/>
  <c r="W38" i="85"/>
  <c r="O67" i="39"/>
  <c r="O69" i="39" s="1"/>
  <c r="N69" i="39"/>
  <c r="K58" i="21"/>
  <c r="L58" i="21" s="1"/>
  <c r="M58" i="21" s="1"/>
  <c r="N58" i="21" s="1"/>
  <c r="O58" i="21" s="1"/>
  <c r="J7" i="21"/>
  <c r="M48" i="35"/>
  <c r="N48" i="35" s="1"/>
  <c r="O48" i="35" s="1"/>
  <c r="J7" i="35"/>
  <c r="F7" i="35"/>
  <c r="H7" i="21"/>
  <c r="C15" i="12"/>
  <c r="C12" i="12"/>
  <c r="F7" i="21"/>
  <c r="T9" i="1"/>
  <c r="E69" i="39"/>
  <c r="D127" i="9"/>
  <c r="D13" i="52" s="1"/>
  <c r="D12" i="52"/>
  <c r="E52" i="37"/>
  <c r="C65" i="40"/>
  <c r="D63" i="40"/>
  <c r="D9" i="53"/>
  <c r="B25" i="72" s="1"/>
  <c r="B24" i="72"/>
  <c r="E59" i="34"/>
  <c r="F46" i="36"/>
  <c r="G46" i="36" s="1"/>
  <c r="H46" i="36" s="1"/>
  <c r="I46" i="36" s="1"/>
  <c r="J46" i="36" s="1"/>
  <c r="K46" i="36" s="1"/>
  <c r="L46" i="36" s="1"/>
  <c r="M46" i="36" s="1"/>
  <c r="N46" i="36" s="1"/>
  <c r="O46" i="36" s="1"/>
  <c r="H7" i="36"/>
  <c r="F7" i="36"/>
  <c r="J7" i="36"/>
  <c r="J7" i="33"/>
  <c r="AC9" i="34"/>
  <c r="W9" i="34"/>
  <c r="AC34" i="35"/>
  <c r="W34" i="35"/>
  <c r="AC32" i="40"/>
  <c r="W32" i="40"/>
  <c r="AZ429" i="3"/>
  <c r="AZ434" i="3"/>
  <c r="AZ442" i="3"/>
  <c r="AZ446" i="3"/>
  <c r="AZ450" i="3"/>
  <c r="AZ455" i="3"/>
  <c r="AZ460" i="3"/>
  <c r="AZ467" i="3"/>
  <c r="AZ471" i="3"/>
  <c r="AZ476" i="3"/>
  <c r="AZ480" i="3"/>
  <c r="AZ484" i="3"/>
  <c r="AZ488" i="3"/>
  <c r="W12" i="40"/>
  <c r="AC12" i="40"/>
  <c r="AA38" i="40"/>
  <c r="S38" i="40"/>
  <c r="AZ398" i="3"/>
  <c r="AZ405" i="3"/>
  <c r="AZ413" i="3"/>
  <c r="AZ418" i="3"/>
  <c r="AZ422" i="3"/>
  <c r="AZ426" i="3"/>
  <c r="AZ439" i="3"/>
  <c r="AZ448" i="3"/>
  <c r="AZ453" i="3"/>
  <c r="AZ458" i="3"/>
  <c r="AZ462" i="3"/>
  <c r="AZ469" i="3"/>
  <c r="AZ482" i="3"/>
  <c r="AZ492" i="3"/>
  <c r="F26" i="33"/>
  <c r="H26" i="33"/>
  <c r="J26" i="33"/>
  <c r="H9" i="34"/>
  <c r="F34" i="35"/>
  <c r="H34" i="35"/>
  <c r="J36" i="35"/>
  <c r="H38" i="40"/>
  <c r="J38" i="40"/>
  <c r="H39" i="40"/>
  <c r="BN5" i="3"/>
  <c r="BT5" i="3"/>
  <c r="BQ5" i="3"/>
  <c r="BR5" i="3"/>
  <c r="G28" i="6" s="1"/>
  <c r="A15" i="62"/>
  <c r="B61" i="72" s="1"/>
  <c r="BM5" i="3"/>
  <c r="AZ49" i="3"/>
  <c r="AA14" i="33"/>
  <c r="AA44" i="33"/>
  <c r="AA29" i="35"/>
  <c r="F27" i="33"/>
  <c r="H27" i="33"/>
  <c r="J27" i="33"/>
  <c r="H12" i="36"/>
  <c r="H24" i="36"/>
  <c r="BP5" i="3"/>
  <c r="BO5" i="3"/>
  <c r="BS5" i="3"/>
  <c r="AZ397" i="3"/>
  <c r="AZ212" i="3"/>
  <c r="AZ217" i="3"/>
  <c r="AZ220" i="3"/>
  <c r="AZ228" i="3"/>
  <c r="AZ231" i="3"/>
  <c r="AZ244" i="3"/>
  <c r="AZ247" i="3"/>
  <c r="AZ260" i="3"/>
  <c r="AZ264" i="3"/>
  <c r="AZ282" i="3"/>
  <c r="AZ285" i="3"/>
  <c r="AZ290" i="3"/>
  <c r="AZ293" i="3"/>
  <c r="AZ153" i="3"/>
  <c r="AZ169" i="3"/>
  <c r="AZ185" i="3"/>
  <c r="AZ201" i="3"/>
  <c r="AZ207" i="3"/>
  <c r="BB5" i="3"/>
  <c r="E8" i="6" s="1"/>
  <c r="AZ54" i="3"/>
  <c r="AZ65" i="3"/>
  <c r="AZ70" i="3"/>
  <c r="AZ76" i="3"/>
  <c r="AZ81" i="3"/>
  <c r="AZ90" i="3"/>
  <c r="AZ96" i="3"/>
  <c r="AZ99" i="3"/>
  <c r="AZ106" i="3"/>
  <c r="AZ112" i="3"/>
  <c r="D44" i="71"/>
  <c r="T44" i="71"/>
  <c r="Q66" i="71"/>
  <c r="Q65" i="71"/>
  <c r="D40" i="71"/>
  <c r="T40" i="71"/>
  <c r="C63" i="71"/>
  <c r="D62" i="71"/>
  <c r="C16" i="71"/>
  <c r="D17" i="71"/>
  <c r="V16" i="71"/>
  <c r="E15" i="71"/>
  <c r="E14" i="71" s="1"/>
  <c r="E13" i="71" s="1"/>
  <c r="E12" i="71" s="1"/>
  <c r="B15" i="71"/>
  <c r="B14" i="71" s="1"/>
  <c r="B13" i="71" s="1"/>
  <c r="B12" i="71" s="1"/>
  <c r="S16" i="71"/>
  <c r="AA11" i="71"/>
  <c r="Y11" i="71"/>
  <c r="Z11" i="71" s="1"/>
  <c r="Y10" i="71"/>
  <c r="Z10" i="71" s="1"/>
  <c r="R24" i="77"/>
  <c r="R5" i="77" s="1"/>
  <c r="C15" i="78"/>
  <c r="B18" i="78"/>
  <c r="C25" i="40"/>
  <c r="D27" i="71"/>
  <c r="S28" i="71"/>
  <c r="B67" i="71"/>
  <c r="N56" i="9"/>
  <c r="Q32" i="43"/>
  <c r="O32" i="43"/>
  <c r="M32" i="43"/>
  <c r="X11" i="71"/>
  <c r="X10" i="71"/>
  <c r="AA12" i="71"/>
  <c r="AA13" i="71"/>
  <c r="AA9" i="71"/>
  <c r="AB11" i="71"/>
  <c r="AB10" i="71"/>
  <c r="R41" i="77"/>
  <c r="R35" i="77"/>
  <c r="U34" i="77" s="1"/>
  <c r="C18" i="78"/>
  <c r="D3" i="85"/>
  <c r="M18" i="9"/>
  <c r="B118" i="9" s="1"/>
  <c r="B14" i="74" s="1"/>
  <c r="B1" i="74" s="1"/>
  <c r="G30" i="3"/>
  <c r="G28" i="3"/>
  <c r="G26" i="3"/>
  <c r="G24" i="3"/>
  <c r="G22" i="3"/>
  <c r="G20" i="3"/>
  <c r="G18" i="3"/>
  <c r="G16" i="3"/>
  <c r="G14" i="3"/>
  <c r="M3" i="79"/>
  <c r="P3" i="79" s="1"/>
  <c r="C24" i="43"/>
  <c r="C5" i="78"/>
  <c r="D5" i="78" s="1"/>
  <c r="T5" i="79"/>
  <c r="W5" i="79" s="1"/>
  <c r="S5" i="79"/>
  <c r="G1" i="69"/>
  <c r="K6" i="1"/>
  <c r="G1" i="15"/>
  <c r="G1" i="68"/>
  <c r="B6" i="1"/>
  <c r="E6" i="1" s="1"/>
  <c r="E50" i="43"/>
  <c r="B48" i="43" s="1"/>
  <c r="C28" i="43" s="1"/>
  <c r="G31" i="3"/>
  <c r="G29" i="3"/>
  <c r="G27" i="3"/>
  <c r="G25" i="3"/>
  <c r="G23" i="3"/>
  <c r="G21" i="3"/>
  <c r="G19" i="3"/>
  <c r="G17" i="3"/>
  <c r="G15" i="3"/>
  <c r="G13" i="3"/>
  <c r="BA13" i="3"/>
  <c r="BA30" i="3"/>
  <c r="AZ30" i="3" s="1"/>
  <c r="BA28" i="3"/>
  <c r="AZ28" i="3" s="1"/>
  <c r="BA26" i="3"/>
  <c r="AZ26" i="3" s="1"/>
  <c r="BA24" i="3"/>
  <c r="AZ24" i="3" s="1"/>
  <c r="BA22" i="3"/>
  <c r="AZ22" i="3" s="1"/>
  <c r="BA20" i="3"/>
  <c r="AZ20" i="3" s="1"/>
  <c r="BA18" i="3"/>
  <c r="AZ18" i="3" s="1"/>
  <c r="BA16" i="3"/>
  <c r="AZ16" i="3" s="1"/>
  <c r="BA14" i="3"/>
  <c r="AZ14" i="3" s="1"/>
  <c r="BA31" i="3"/>
  <c r="AZ31" i="3" s="1"/>
  <c r="BA29" i="3"/>
  <c r="AZ29" i="3" s="1"/>
  <c r="BA27" i="3"/>
  <c r="AZ27" i="3" s="1"/>
  <c r="BA25" i="3"/>
  <c r="AZ25" i="3" s="1"/>
  <c r="BA23" i="3"/>
  <c r="AZ23" i="3" s="1"/>
  <c r="BA21" i="3"/>
  <c r="AZ21" i="3" s="1"/>
  <c r="BA19" i="3"/>
  <c r="AZ19" i="3" s="1"/>
  <c r="BA17" i="3"/>
  <c r="AZ17" i="3" s="1"/>
  <c r="BA15" i="3"/>
  <c r="AZ15" i="3" s="1"/>
  <c r="G81" i="33"/>
  <c r="G89" i="33" s="1"/>
  <c r="F89" i="33"/>
  <c r="G23" i="43"/>
  <c r="F49" i="67"/>
  <c r="O21" i="43"/>
  <c r="M21" i="43"/>
  <c r="K21" i="43"/>
  <c r="I21" i="43"/>
  <c r="E89" i="33"/>
  <c r="F42" i="33"/>
  <c r="H42" i="33"/>
  <c r="J37" i="33"/>
  <c r="F17" i="33"/>
  <c r="H17" i="33"/>
  <c r="H36" i="33"/>
  <c r="U39" i="85"/>
  <c r="AB40" i="85"/>
  <c r="U40" i="85"/>
  <c r="AB34" i="85"/>
  <c r="U34" i="85"/>
  <c r="AB30" i="85"/>
  <c r="U30" i="85"/>
  <c r="AB28" i="85"/>
  <c r="U28" i="85"/>
  <c r="AB26" i="85"/>
  <c r="U26" i="85"/>
  <c r="C58" i="85"/>
  <c r="D58" i="85" s="1"/>
  <c r="E58" i="85" s="1"/>
  <c r="F58" i="85" s="1"/>
  <c r="G58" i="85" s="1"/>
  <c r="H58" i="85" s="1"/>
  <c r="I58" i="85" s="1"/>
  <c r="J58" i="85" s="1"/>
  <c r="K58" i="85" s="1"/>
  <c r="L58" i="85" s="1"/>
  <c r="M58" i="85" s="1"/>
  <c r="N58" i="85" s="1"/>
  <c r="O58" i="85" s="1"/>
  <c r="E7" i="85"/>
  <c r="N21" i="43"/>
  <c r="L21" i="43"/>
  <c r="J21" i="43"/>
  <c r="G21" i="43" s="1"/>
  <c r="C20" i="43" s="1"/>
  <c r="J42" i="33"/>
  <c r="F41" i="33"/>
  <c r="H41" i="33"/>
  <c r="F37" i="33"/>
  <c r="AB46" i="85"/>
  <c r="U46" i="85"/>
  <c r="AB44" i="85"/>
  <c r="U44" i="85"/>
  <c r="U10" i="85"/>
  <c r="S11" i="85"/>
  <c r="U12" i="85"/>
  <c r="S13" i="85"/>
  <c r="U14" i="85"/>
  <c r="U15" i="85"/>
  <c r="U17" i="85"/>
  <c r="U19" i="85"/>
  <c r="U21" i="85"/>
  <c r="U23" i="85"/>
  <c r="S25" i="85"/>
  <c r="S27" i="85"/>
  <c r="S29" i="85"/>
  <c r="S31" i="85"/>
  <c r="S35" i="85"/>
  <c r="S37" i="85"/>
  <c r="S39" i="85"/>
  <c r="S41" i="85"/>
  <c r="S43" i="85"/>
  <c r="S45" i="85"/>
  <c r="J32" i="85"/>
  <c r="F101" i="85"/>
  <c r="G101" i="85" s="1"/>
  <c r="H101" i="85" s="1"/>
  <c r="I101" i="85" s="1"/>
  <c r="J101" i="85" s="1"/>
  <c r="K101" i="85" s="1"/>
  <c r="L101" i="85" s="1"/>
  <c r="M101" i="85" s="1"/>
  <c r="F32" i="85"/>
  <c r="H32" i="85"/>
  <c r="F81" i="85"/>
  <c r="E89" i="85"/>
  <c r="F36" i="85"/>
  <c r="J36" i="85"/>
  <c r="G111" i="85"/>
  <c r="H111" i="85" s="1"/>
  <c r="I111" i="85" s="1"/>
  <c r="J111" i="85" s="1"/>
  <c r="K111" i="85" s="1"/>
  <c r="L111" i="85" s="1"/>
  <c r="M111" i="85" s="1"/>
  <c r="H36" i="85"/>
  <c r="H42" i="85"/>
  <c r="B12" i="70"/>
  <c r="B10" i="70"/>
  <c r="B9" i="70"/>
  <c r="N59" i="67"/>
  <c r="L58" i="67"/>
  <c r="L59" i="67"/>
  <c r="M59" i="67"/>
  <c r="B13" i="70"/>
  <c r="B8" i="70"/>
  <c r="B11" i="70"/>
  <c r="B7" i="70"/>
  <c r="Q71" i="67"/>
  <c r="F51" i="67"/>
  <c r="J59" i="67"/>
  <c r="J53" i="67"/>
  <c r="J57" i="67"/>
  <c r="J55" i="67" s="1"/>
  <c r="J58" i="67" s="1"/>
  <c r="Q50" i="67" s="1"/>
  <c r="J60" i="67"/>
  <c r="Q48" i="67" s="1"/>
  <c r="L56" i="67"/>
  <c r="L57" i="67"/>
  <c r="I54" i="67"/>
  <c r="L60" i="67"/>
  <c r="F66" i="67"/>
  <c r="B40" i="1"/>
  <c r="F69" i="67"/>
  <c r="F68" i="67"/>
  <c r="F65" i="67"/>
  <c r="F64" i="67"/>
  <c r="C27" i="67"/>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B6" i="49"/>
  <c r="D6" i="49" s="1"/>
  <c r="B4" i="49"/>
  <c r="D4" i="49" s="1"/>
  <c r="B13" i="49"/>
  <c r="D13" i="49" s="1"/>
  <c r="B11" i="49"/>
  <c r="B9" i="49"/>
  <c r="D9" i="49" s="1"/>
  <c r="B7" i="49"/>
  <c r="D7" i="49" s="1"/>
  <c r="B5" i="49"/>
  <c r="D5" i="49" s="1"/>
  <c r="M6" i="67"/>
  <c r="F43" i="67"/>
  <c r="M29" i="67"/>
  <c r="F7" i="67"/>
  <c r="AC38" i="33" l="1"/>
  <c r="W38" i="33"/>
  <c r="M7" i="67"/>
  <c r="J6" i="67" s="1"/>
  <c r="J18" i="67" s="1"/>
  <c r="F50" i="67"/>
  <c r="C6" i="67"/>
  <c r="C32" i="67" s="1"/>
  <c r="F71" i="67"/>
  <c r="F27" i="6"/>
  <c r="E56" i="39"/>
  <c r="E51" i="40"/>
  <c r="D5" i="43"/>
  <c r="C5" i="43"/>
  <c r="D6" i="77"/>
  <c r="U5" i="77"/>
  <c r="AB42" i="85"/>
  <c r="U42" i="85"/>
  <c r="AA36" i="85"/>
  <c r="S36" i="85"/>
  <c r="F89" i="85"/>
  <c r="G81" i="85"/>
  <c r="G89" i="85" s="1"/>
  <c r="AA32" i="85"/>
  <c r="S32" i="85"/>
  <c r="AC32" i="85"/>
  <c r="W32" i="85"/>
  <c r="AA37" i="33"/>
  <c r="S37" i="33"/>
  <c r="AA41" i="33"/>
  <c r="S41" i="33"/>
  <c r="AB36" i="33"/>
  <c r="U36" i="33"/>
  <c r="AA17" i="33"/>
  <c r="S17" i="33"/>
  <c r="AC37" i="33"/>
  <c r="W37" i="33"/>
  <c r="AA42" i="33"/>
  <c r="S42" i="33"/>
  <c r="C23" i="43"/>
  <c r="A1" i="79"/>
  <c r="O23" i="43"/>
  <c r="P26" i="43"/>
  <c r="P28" i="43"/>
  <c r="B66" i="40" s="1"/>
  <c r="P25" i="43"/>
  <c r="P27" i="43"/>
  <c r="B70" i="39" s="1"/>
  <c r="P29" i="43"/>
  <c r="AZ13" i="3"/>
  <c r="AZ5" i="3" s="1"/>
  <c r="BA5" i="3"/>
  <c r="E27" i="6" s="1"/>
  <c r="M6" i="1"/>
  <c r="G16" i="1"/>
  <c r="Q16" i="1"/>
  <c r="H16" i="1"/>
  <c r="E20" i="3"/>
  <c r="E28" i="3"/>
  <c r="N67" i="71"/>
  <c r="B66" i="71"/>
  <c r="S12" i="71"/>
  <c r="B11" i="71"/>
  <c r="B10" i="71" s="1"/>
  <c r="B9" i="71" s="1"/>
  <c r="B8" i="71" s="1"/>
  <c r="B7" i="71" s="1"/>
  <c r="B6" i="71" s="1"/>
  <c r="B5" i="71" s="1"/>
  <c r="M23" i="43"/>
  <c r="D16" i="71"/>
  <c r="U16" i="71" s="1"/>
  <c r="T16" i="71"/>
  <c r="C15" i="71"/>
  <c r="D63" i="71"/>
  <c r="C64" i="71"/>
  <c r="U12" i="36"/>
  <c r="AB12" i="36"/>
  <c r="AB27" i="33"/>
  <c r="U27" i="33"/>
  <c r="F29" i="6"/>
  <c r="U39" i="40"/>
  <c r="AB39" i="40"/>
  <c r="AB38" i="40"/>
  <c r="U38" i="40"/>
  <c r="AB34" i="35"/>
  <c r="U34" i="35"/>
  <c r="AB9" i="34"/>
  <c r="U9" i="34"/>
  <c r="AB26" i="33"/>
  <c r="U26" i="33"/>
  <c r="W7" i="36"/>
  <c r="AC7" i="36"/>
  <c r="V36" i="36" s="1"/>
  <c r="I36" i="36" s="1"/>
  <c r="U7" i="36"/>
  <c r="AB7" i="36"/>
  <c r="T36" i="36" s="1"/>
  <c r="G36" i="36" s="1"/>
  <c r="F59" i="34"/>
  <c r="AB7" i="21"/>
  <c r="T48" i="21" s="1"/>
  <c r="G48" i="21" s="1"/>
  <c r="U7" i="21"/>
  <c r="W7" i="35"/>
  <c r="AC7" i="35"/>
  <c r="V38" i="35" s="1"/>
  <c r="I38" i="35" s="1"/>
  <c r="H7" i="35"/>
  <c r="AB36" i="85"/>
  <c r="U36" i="85"/>
  <c r="AC36" i="85"/>
  <c r="W36" i="85"/>
  <c r="AB32" i="85"/>
  <c r="U32" i="85"/>
  <c r="AB41" i="33"/>
  <c r="U41" i="33"/>
  <c r="AC42" i="33"/>
  <c r="W42" i="33"/>
  <c r="F7" i="85"/>
  <c r="G7" i="85"/>
  <c r="AB17" i="33"/>
  <c r="U17" i="33"/>
  <c r="AB42" i="33"/>
  <c r="U42" i="33"/>
  <c r="G5" i="3"/>
  <c r="B3" i="3" s="1"/>
  <c r="E19" i="3" s="1"/>
  <c r="E13" i="3"/>
  <c r="E17" i="3"/>
  <c r="E21" i="3"/>
  <c r="E25" i="3"/>
  <c r="E29" i="3"/>
  <c r="E14" i="3"/>
  <c r="E18" i="3"/>
  <c r="E22" i="3"/>
  <c r="E26" i="3"/>
  <c r="E30" i="3"/>
  <c r="V12" i="71"/>
  <c r="E11" i="71"/>
  <c r="E10" i="71" s="1"/>
  <c r="E9" i="71" s="1"/>
  <c r="E8" i="71" s="1"/>
  <c r="E7" i="71" s="1"/>
  <c r="E6" i="71" s="1"/>
  <c r="E5" i="71" s="1"/>
  <c r="E14" i="6"/>
  <c r="E12" i="6"/>
  <c r="E13" i="6"/>
  <c r="E15" i="6"/>
  <c r="E10" i="6"/>
  <c r="E16" i="6" s="1"/>
  <c r="E11" i="6"/>
  <c r="AB24" i="36"/>
  <c r="U24" i="36"/>
  <c r="AC27" i="33"/>
  <c r="W27" i="33"/>
  <c r="AA27" i="33"/>
  <c r="S27" i="33"/>
  <c r="F28" i="6"/>
  <c r="G29" i="6"/>
  <c r="G30" i="6" s="1"/>
  <c r="G31" i="6" s="1"/>
  <c r="AC38" i="40"/>
  <c r="W38" i="40"/>
  <c r="AC36" i="35"/>
  <c r="W36" i="35"/>
  <c r="AA34" i="35"/>
  <c r="S34" i="35"/>
  <c r="AC26" i="33"/>
  <c r="W26" i="33"/>
  <c r="AA26" i="33"/>
  <c r="S26" i="33"/>
  <c r="AC7" i="33"/>
  <c r="W7" i="33"/>
  <c r="S7" i="36"/>
  <c r="AA7" i="36"/>
  <c r="R36" i="36" s="1"/>
  <c r="E63" i="40"/>
  <c r="D65" i="40"/>
  <c r="F52" i="37"/>
  <c r="H7" i="39"/>
  <c r="F7" i="39"/>
  <c r="J7" i="39"/>
  <c r="AA7" i="21"/>
  <c r="R48" i="21" s="1"/>
  <c r="S7" i="21"/>
  <c r="AA7" i="35"/>
  <c r="R38" i="35" s="1"/>
  <c r="S7" i="35"/>
  <c r="W7" i="21"/>
  <c r="AC7" i="21"/>
  <c r="V48" i="21" s="1"/>
  <c r="I48" i="21" s="1"/>
  <c r="D11" i="49"/>
  <c r="E4" i="4"/>
  <c r="B5" i="62" s="1"/>
  <c r="B73" i="72" s="1"/>
  <c r="D8" i="49"/>
  <c r="C4" i="4"/>
  <c r="Q57" i="67"/>
  <c r="Q66" i="67"/>
  <c r="F1" i="67"/>
  <c r="Q52" i="67"/>
  <c r="Q74" i="67"/>
  <c r="Q61" i="67"/>
  <c r="F11" i="15"/>
  <c r="C53" i="15" s="1"/>
  <c r="F11" i="67"/>
  <c r="M11" i="15"/>
  <c r="J10" i="15" s="1"/>
  <c r="M11" i="67"/>
  <c r="J10" i="67" s="1"/>
  <c r="F24" i="67"/>
  <c r="C24" i="67" s="1"/>
  <c r="F22" i="69"/>
  <c r="F24" i="15"/>
  <c r="C24" i="15" s="1"/>
  <c r="F22" i="68"/>
  <c r="L36" i="43"/>
  <c r="F25" i="12"/>
  <c r="C26" i="12" s="1"/>
  <c r="D25" i="12" s="1"/>
  <c r="F22" i="11"/>
  <c r="L46" i="67"/>
  <c r="C49" i="67"/>
  <c r="Q73" i="67"/>
  <c r="Q60" i="67"/>
  <c r="C16" i="67"/>
  <c r="F40" i="15"/>
  <c r="M24" i="15"/>
  <c r="M8" i="15"/>
  <c r="F38" i="15"/>
  <c r="F6" i="15"/>
  <c r="M29" i="15"/>
  <c r="D9" i="68"/>
  <c r="AE6" i="1"/>
  <c r="M28" i="15"/>
  <c r="F7" i="15"/>
  <c r="F41" i="15"/>
  <c r="L48" i="15"/>
  <c r="M26" i="15"/>
  <c r="M6" i="15"/>
  <c r="F26" i="15"/>
  <c r="D9" i="69"/>
  <c r="F27" i="68"/>
  <c r="F13" i="15"/>
  <c r="F42" i="15"/>
  <c r="F16" i="15"/>
  <c r="L47" i="15"/>
  <c r="M22" i="15"/>
  <c r="M9" i="15"/>
  <c r="F27" i="69"/>
  <c r="C36" i="68"/>
  <c r="F9" i="15"/>
  <c r="F8" i="15"/>
  <c r="F37" i="15"/>
  <c r="J15" i="15"/>
  <c r="F36" i="15"/>
  <c r="F43" i="15"/>
  <c r="M23" i="15"/>
  <c r="C76" i="15"/>
  <c r="C36" i="69"/>
  <c r="J5" i="67" l="1"/>
  <c r="C10" i="67"/>
  <c r="C5" i="67" s="1"/>
  <c r="C38" i="67" s="1"/>
  <c r="C33" i="67"/>
  <c r="J19" i="67"/>
  <c r="C47" i="68"/>
  <c r="D45" i="68" s="1"/>
  <c r="C29" i="68"/>
  <c r="D27" i="68" s="1"/>
  <c r="F45" i="68"/>
  <c r="C9" i="69"/>
  <c r="Q71" i="15"/>
  <c r="C27" i="15"/>
  <c r="F71" i="15"/>
  <c r="F64" i="15"/>
  <c r="J57" i="15"/>
  <c r="J55" i="15" s="1"/>
  <c r="J58" i="15" s="1"/>
  <c r="Q50" i="15" s="1"/>
  <c r="J59" i="15"/>
  <c r="J53" i="15"/>
  <c r="L57" i="15"/>
  <c r="J60" i="15"/>
  <c r="Q48" i="15" s="1"/>
  <c r="I54" i="15"/>
  <c r="L60" i="15"/>
  <c r="L56" i="15"/>
  <c r="L46" i="15"/>
  <c r="F69" i="15"/>
  <c r="F65" i="15"/>
  <c r="M7" i="15"/>
  <c r="J6" i="15" s="1"/>
  <c r="J5" i="15" s="1"/>
  <c r="J24" i="15" s="1"/>
  <c r="F50" i="15"/>
  <c r="F51" i="15"/>
  <c r="C9" i="68"/>
  <c r="C47" i="69"/>
  <c r="D45" i="69" s="1"/>
  <c r="F45" i="69"/>
  <c r="C29" i="69"/>
  <c r="D27" i="69" s="1"/>
  <c r="C6" i="15"/>
  <c r="F66" i="15"/>
  <c r="N59" i="15"/>
  <c r="L59" i="15"/>
  <c r="M59" i="15"/>
  <c r="L58" i="15"/>
  <c r="F68" i="15"/>
  <c r="R39" i="35"/>
  <c r="E38" i="35"/>
  <c r="R49" i="21"/>
  <c r="E48" i="21"/>
  <c r="AA7" i="39"/>
  <c r="R47" i="39" s="1"/>
  <c r="S7" i="39"/>
  <c r="G52" i="37"/>
  <c r="E65" i="40"/>
  <c r="F63" i="40"/>
  <c r="E36" i="36"/>
  <c r="R37" i="36"/>
  <c r="E60" i="39"/>
  <c r="E56" i="40"/>
  <c r="E64" i="39"/>
  <c r="E60" i="40"/>
  <c r="E57" i="40"/>
  <c r="E61" i="39"/>
  <c r="I7" i="85"/>
  <c r="J7" i="85" s="1"/>
  <c r="H7" i="85"/>
  <c r="U7" i="35"/>
  <c r="AB7" i="35"/>
  <c r="T38" i="35" s="1"/>
  <c r="G38" i="35" s="1"/>
  <c r="G52" i="21"/>
  <c r="H52" i="21" s="1"/>
  <c r="G53" i="21"/>
  <c r="H53" i="21" s="1"/>
  <c r="G40" i="36"/>
  <c r="H40" i="36" s="1"/>
  <c r="G41" i="36"/>
  <c r="H41" i="36" s="1"/>
  <c r="I41" i="36"/>
  <c r="J41" i="36" s="1"/>
  <c r="I40" i="36"/>
  <c r="J40" i="36" s="1"/>
  <c r="D64" i="71"/>
  <c r="T64" i="71"/>
  <c r="C14" i="71"/>
  <c r="D15" i="71"/>
  <c r="N66" i="71"/>
  <c r="N65" i="71"/>
  <c r="F10" i="39"/>
  <c r="J10" i="40"/>
  <c r="H10" i="39"/>
  <c r="F10" i="40"/>
  <c r="J10" i="39"/>
  <c r="H10" i="40"/>
  <c r="E27" i="3"/>
  <c r="C23" i="77"/>
  <c r="D10" i="77"/>
  <c r="D15" i="77"/>
  <c r="D17" i="77"/>
  <c r="D9" i="77"/>
  <c r="D16" i="77"/>
  <c r="D18" i="77"/>
  <c r="C37" i="43"/>
  <c r="C38" i="43"/>
  <c r="C39" i="43"/>
  <c r="C40" i="43"/>
  <c r="C41" i="43"/>
  <c r="C42" i="43"/>
  <c r="B25" i="31"/>
  <c r="D33" i="43"/>
  <c r="I52" i="21"/>
  <c r="J52" i="21" s="1"/>
  <c r="I53" i="21"/>
  <c r="J53" i="21" s="1"/>
  <c r="AC7" i="39"/>
  <c r="V47" i="39" s="1"/>
  <c r="I47" i="39" s="1"/>
  <c r="W7" i="39"/>
  <c r="AB7" i="39"/>
  <c r="T47" i="39" s="1"/>
  <c r="G47" i="39" s="1"/>
  <c r="U7" i="39"/>
  <c r="E28" i="6"/>
  <c r="F30" i="6"/>
  <c r="F31" i="6" s="1"/>
  <c r="E62" i="39"/>
  <c r="E58" i="40"/>
  <c r="E63" i="39"/>
  <c r="E59" i="40"/>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67" i="3"/>
  <c r="E48" i="3"/>
  <c r="E33"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88" i="3"/>
  <c r="E70" i="3"/>
  <c r="E121" i="3"/>
  <c r="E182" i="3"/>
  <c r="E166" i="3"/>
  <c r="E211" i="3"/>
  <c r="E295" i="3"/>
  <c r="E273" i="3"/>
  <c r="E316" i="3"/>
  <c r="E377" i="3"/>
  <c r="E334" i="3"/>
  <c r="E572"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503" i="3"/>
  <c r="E302" i="3"/>
  <c r="E180" i="3"/>
  <c r="E221" i="3"/>
  <c r="E91" i="3"/>
  <c r="E254" i="3"/>
  <c r="E134" i="3"/>
  <c r="E159" i="3"/>
  <c r="E301" i="3"/>
  <c r="E303" i="3"/>
  <c r="E350" i="3"/>
  <c r="E402" i="3"/>
  <c r="E586" i="3"/>
  <c r="AN6" i="3"/>
  <c r="E495" i="3"/>
  <c r="E353" i="3"/>
  <c r="E124" i="3"/>
  <c r="E280" i="3"/>
  <c r="E399" i="3"/>
  <c r="AA6" i="3"/>
  <c r="E347" i="3"/>
  <c r="E510" i="3"/>
  <c r="E329" i="3"/>
  <c r="E205"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40" i="3"/>
  <c r="E104"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412"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101"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92" i="3"/>
  <c r="E162" i="3"/>
  <c r="E126" i="3"/>
  <c r="E186" i="3"/>
  <c r="E272" i="3"/>
  <c r="E210" i="3"/>
  <c r="E291" i="3"/>
  <c r="E331" i="3"/>
  <c r="E317" i="3"/>
  <c r="E384" i="3"/>
  <c r="AM6" i="3"/>
  <c r="E44"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AA7" i="85"/>
  <c r="S7" i="85"/>
  <c r="I42" i="35"/>
  <c r="J42" i="35" s="1"/>
  <c r="I43" i="35"/>
  <c r="J43" i="35" s="1"/>
  <c r="G59" i="34"/>
  <c r="E29" i="6"/>
  <c r="K15" i="1" s="1"/>
  <c r="E24" i="3"/>
  <c r="E16" i="3"/>
  <c r="F27" i="11"/>
  <c r="F28" i="12"/>
  <c r="C29" i="12" s="1"/>
  <c r="D28" i="12" s="1"/>
  <c r="E31" i="3"/>
  <c r="E23" i="3"/>
  <c r="E15" i="3"/>
  <c r="AY6" i="3"/>
  <c r="E3" i="6"/>
  <c r="C33" i="43"/>
  <c r="T2" i="43"/>
  <c r="V2" i="43" s="1"/>
  <c r="T3" i="43"/>
  <c r="V3" i="43" s="1"/>
  <c r="T4" i="43"/>
  <c r="T5" i="43"/>
  <c r="V5" i="43" s="1"/>
  <c r="T6" i="43"/>
  <c r="V6" i="43" s="1"/>
  <c r="T7" i="43"/>
  <c r="V7" i="43" s="1"/>
  <c r="T8" i="43"/>
  <c r="V8" i="43" s="1"/>
  <c r="T9" i="43"/>
  <c r="V9" i="43" s="1"/>
  <c r="T10" i="43"/>
  <c r="V10" i="43" s="1"/>
  <c r="T11" i="43"/>
  <c r="V11" i="43" s="1"/>
  <c r="T12" i="43"/>
  <c r="V12" i="43" s="1"/>
  <c r="T13" i="43"/>
  <c r="V13" i="43" s="1"/>
  <c r="T14" i="43"/>
  <c r="V14" i="43" s="1"/>
  <c r="T15" i="43"/>
  <c r="V15" i="43" s="1"/>
  <c r="T16" i="43"/>
  <c r="V16" i="43" s="1"/>
  <c r="E65" i="39"/>
  <c r="AG6" i="1"/>
  <c r="J24" i="67"/>
  <c r="C53" i="67"/>
  <c r="C48" i="67" s="1"/>
  <c r="C61" i="67"/>
  <c r="C26" i="11"/>
  <c r="D22" i="11" s="1"/>
  <c r="C44" i="11"/>
  <c r="D41" i="11" s="1"/>
  <c r="C23" i="11"/>
  <c r="P36" i="43"/>
  <c r="Q36" i="43"/>
  <c r="M36" i="43"/>
  <c r="L37" i="43"/>
  <c r="N36" i="43"/>
  <c r="O36" i="43"/>
  <c r="B4" i="62"/>
  <c r="B71" i="72" s="1"/>
  <c r="K4" i="4"/>
  <c r="B46" i="48" s="1"/>
  <c r="B4" i="72" s="1"/>
  <c r="C24" i="68"/>
  <c r="C44" i="68"/>
  <c r="D41" i="68" s="1"/>
  <c r="C26" i="68"/>
  <c r="D22" i="68" s="1"/>
  <c r="F41" i="68"/>
  <c r="C26" i="69"/>
  <c r="D22" i="69" s="1"/>
  <c r="C44" i="69"/>
  <c r="D41" i="69" s="1"/>
  <c r="C24" i="69"/>
  <c r="F41" i="69"/>
  <c r="M27" i="15"/>
  <c r="C16" i="15"/>
  <c r="M27" i="67"/>
  <c r="C33" i="85" l="1"/>
  <c r="C33" i="33"/>
  <c r="B4" i="77"/>
  <c r="D3" i="21"/>
  <c r="B3" i="21" s="1"/>
  <c r="D37" i="11"/>
  <c r="C37" i="11" s="1"/>
  <c r="D19" i="11"/>
  <c r="C19" i="11" s="1"/>
  <c r="E6" i="6"/>
  <c r="D14" i="12"/>
  <c r="D3" i="34"/>
  <c r="B3" i="34" s="1"/>
  <c r="C17" i="4"/>
  <c r="B4" i="52" s="1"/>
  <c r="B43" i="72" s="1"/>
  <c r="D3" i="37"/>
  <c r="B3" i="37" s="1"/>
  <c r="C29" i="11"/>
  <c r="D27" i="11" s="1"/>
  <c r="C47" i="11"/>
  <c r="D45" i="11" s="1"/>
  <c r="H6" i="3"/>
  <c r="E6" i="3" s="1"/>
  <c r="K19" i="6"/>
  <c r="K14" i="1"/>
  <c r="K21" i="6"/>
  <c r="M21" i="6" s="1"/>
  <c r="I21" i="6" s="1"/>
  <c r="S21" i="6" s="1"/>
  <c r="K20" i="6"/>
  <c r="M20" i="6" s="1"/>
  <c r="I20" i="6" s="1"/>
  <c r="S20" i="6" s="1"/>
  <c r="K22" i="6"/>
  <c r="M22" i="6" s="1"/>
  <c r="I22" i="6" s="1"/>
  <c r="S22" i="6" s="1"/>
  <c r="K24" i="6"/>
  <c r="M24" i="6" s="1"/>
  <c r="I24" i="6" s="1"/>
  <c r="S24" i="6" s="1"/>
  <c r="K26" i="6"/>
  <c r="M26" i="6" s="1"/>
  <c r="I26" i="6" s="1"/>
  <c r="S26" i="6" s="1"/>
  <c r="K25" i="6"/>
  <c r="M25" i="6" s="1"/>
  <c r="I25" i="6" s="1"/>
  <c r="S25" i="6" s="1"/>
  <c r="E30" i="6"/>
  <c r="E31" i="6" s="1"/>
  <c r="K23" i="6"/>
  <c r="M23" i="6" s="1"/>
  <c r="I23" i="6" s="1"/>
  <c r="S23" i="6" s="1"/>
  <c r="G51" i="39"/>
  <c r="H51" i="39" s="1"/>
  <c r="G52" i="39"/>
  <c r="H52" i="39" s="1"/>
  <c r="I51" i="39"/>
  <c r="J51" i="39" s="1"/>
  <c r="I52" i="39"/>
  <c r="J52" i="39" s="1"/>
  <c r="E42" i="43"/>
  <c r="G42" i="43"/>
  <c r="I42" i="43" s="1"/>
  <c r="E40" i="43"/>
  <c r="G40" i="43"/>
  <c r="I40" i="43" s="1"/>
  <c r="E38" i="43"/>
  <c r="G38" i="43"/>
  <c r="I38" i="43" s="1"/>
  <c r="D23" i="77"/>
  <c r="C29" i="77"/>
  <c r="AB10" i="40"/>
  <c r="U10" i="40"/>
  <c r="S10" i="40"/>
  <c r="AA10" i="40"/>
  <c r="AC10" i="40"/>
  <c r="W10" i="40"/>
  <c r="G42" i="35"/>
  <c r="H42" i="35" s="1"/>
  <c r="G43" i="35"/>
  <c r="H43" i="35" s="1"/>
  <c r="AB7" i="85"/>
  <c r="U7" i="85"/>
  <c r="C37" i="36"/>
  <c r="C36" i="36"/>
  <c r="G63" i="40"/>
  <c r="F65" i="40"/>
  <c r="E52" i="21"/>
  <c r="F52" i="21" s="1"/>
  <c r="E53" i="21"/>
  <c r="F53" i="21" s="1"/>
  <c r="E43" i="35"/>
  <c r="F43" i="35" s="1"/>
  <c r="E42" i="35"/>
  <c r="F42" i="35" s="1"/>
  <c r="C10" i="15"/>
  <c r="C5" i="15" s="1"/>
  <c r="C38" i="15" s="1"/>
  <c r="C32" i="15"/>
  <c r="C49" i="15"/>
  <c r="J18" i="15"/>
  <c r="J19" i="15"/>
  <c r="C6" i="69"/>
  <c r="C7" i="69" s="1"/>
  <c r="E33" i="43"/>
  <c r="D3" i="6"/>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87" i="3"/>
  <c r="AY34" i="3"/>
  <c r="AY144" i="3"/>
  <c r="AY95" i="3"/>
  <c r="AY152" i="3"/>
  <c r="AY111" i="3"/>
  <c r="AY253" i="3"/>
  <c r="AY382" i="3"/>
  <c r="AY303" i="3"/>
  <c r="AY196" i="3"/>
  <c r="AY74" i="3"/>
  <c r="AY204" i="3"/>
  <c r="AY363" i="3"/>
  <c r="AY470" i="3"/>
  <c r="AY409" i="3"/>
  <c r="AY180" i="3"/>
  <c r="AY228" i="3"/>
  <c r="AY358" i="3"/>
  <c r="AY465" i="3"/>
  <c r="AY433" i="3"/>
  <c r="BK6"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1" i="3"/>
  <c r="AY207" i="3"/>
  <c r="AY124" i="3"/>
  <c r="AY42" i="3"/>
  <c r="AY281" i="3"/>
  <c r="AY168" i="3"/>
  <c r="AY236" i="3"/>
  <c r="AY366" i="3"/>
  <c r="AY67" i="3"/>
  <c r="AY139" i="3"/>
  <c r="AY123" i="3"/>
  <c r="AY252" i="3"/>
  <c r="AY318" i="3"/>
  <c r="AY428" i="3"/>
  <c r="AY106" i="3"/>
  <c r="AY245" i="3"/>
  <c r="AY395" i="3"/>
  <c r="AY342" i="3"/>
  <c r="AY452" i="3"/>
  <c r="AY513"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H59" i="34"/>
  <c r="AC6" i="3"/>
  <c r="U4" i="43"/>
  <c r="V4" i="43" s="1"/>
  <c r="D1" i="43"/>
  <c r="B22" i="31"/>
  <c r="C25" i="31"/>
  <c r="E41" i="43"/>
  <c r="G41" i="43"/>
  <c r="I41" i="43" s="1"/>
  <c r="E39" i="43"/>
  <c r="G39" i="43"/>
  <c r="I39" i="43" s="1"/>
  <c r="E37" i="43"/>
  <c r="G37" i="43"/>
  <c r="I37" i="43" s="1"/>
  <c r="AC10" i="39"/>
  <c r="W10" i="39"/>
  <c r="AB10" i="39"/>
  <c r="U10" i="39"/>
  <c r="AA10" i="39"/>
  <c r="S10" i="39"/>
  <c r="C13" i="71"/>
  <c r="D14" i="71"/>
  <c r="AC7" i="85"/>
  <c r="W7" i="85"/>
  <c r="E40" i="36"/>
  <c r="F40" i="36" s="1"/>
  <c r="E41" i="36"/>
  <c r="F41" i="36" s="1"/>
  <c r="H52" i="37"/>
  <c r="R48" i="39"/>
  <c r="E47" i="39"/>
  <c r="C49" i="21"/>
  <c r="C48" i="21"/>
  <c r="C39" i="35"/>
  <c r="M3" i="35" s="1"/>
  <c r="C38" i="35"/>
  <c r="Q73" i="15"/>
  <c r="Q60" i="15"/>
  <c r="Q74" i="15"/>
  <c r="Q61" i="15"/>
  <c r="Q66" i="15"/>
  <c r="Q57" i="15"/>
  <c r="F1" i="15"/>
  <c r="Q52" i="15"/>
  <c r="C60" i="67"/>
  <c r="C66" i="67"/>
  <c r="M37" i="43"/>
  <c r="O37" i="43"/>
  <c r="P37" i="43"/>
  <c r="Q37" i="43"/>
  <c r="N37" i="43"/>
  <c r="E34" i="43" l="1"/>
  <c r="C31" i="43" s="1"/>
  <c r="C30" i="43"/>
  <c r="C34" i="43"/>
  <c r="C48" i="39"/>
  <c r="C47" i="39"/>
  <c r="I52" i="37"/>
  <c r="J52" i="37" s="1"/>
  <c r="K52" i="37" s="1"/>
  <c r="L52" i="37" s="1"/>
  <c r="M52" i="37" s="1"/>
  <c r="N52" i="37" s="1"/>
  <c r="O52" i="37" s="1"/>
  <c r="F7" i="37"/>
  <c r="I59" i="34"/>
  <c r="D19" i="6"/>
  <c r="D21" i="6"/>
  <c r="R21" i="6" s="1"/>
  <c r="D23" i="6"/>
  <c r="D25" i="6"/>
  <c r="D29" i="6"/>
  <c r="B5" i="77"/>
  <c r="D14" i="77" s="1"/>
  <c r="D20" i="6"/>
  <c r="D24" i="6"/>
  <c r="R24" i="6" s="1"/>
  <c r="D28" i="6"/>
  <c r="D30" i="6" s="1"/>
  <c r="D22" i="6"/>
  <c r="D26" i="6"/>
  <c r="D14" i="6"/>
  <c r="D9" i="6"/>
  <c r="H22" i="6"/>
  <c r="H24" i="6"/>
  <c r="D5" i="6"/>
  <c r="D11" i="6"/>
  <c r="E61" i="40"/>
  <c r="H20" i="6"/>
  <c r="D15" i="6"/>
  <c r="D8" i="6"/>
  <c r="D6" i="6"/>
  <c r="D10" i="6"/>
  <c r="H25" i="6"/>
  <c r="H21" i="6"/>
  <c r="C18" i="4"/>
  <c r="D12" i="6"/>
  <c r="D13" i="6"/>
  <c r="H26" i="6"/>
  <c r="H23" i="6"/>
  <c r="M14" i="1"/>
  <c r="K16" i="1"/>
  <c r="C14" i="12"/>
  <c r="C16" i="12" s="1"/>
  <c r="D17" i="12"/>
  <c r="C17" i="12" s="1"/>
  <c r="C20" i="11"/>
  <c r="C25" i="11" s="1"/>
  <c r="C28" i="11"/>
  <c r="C27" i="11" s="1"/>
  <c r="C24" i="11"/>
  <c r="H33" i="33"/>
  <c r="F33" i="33"/>
  <c r="J33" i="33"/>
  <c r="E52" i="39"/>
  <c r="F52" i="39" s="1"/>
  <c r="E51" i="39"/>
  <c r="F51" i="39" s="1"/>
  <c r="H7" i="37"/>
  <c r="C12" i="71"/>
  <c r="D13" i="71"/>
  <c r="C61" i="15"/>
  <c r="C48" i="15"/>
  <c r="G65" i="40"/>
  <c r="H63" i="40"/>
  <c r="E23" i="77"/>
  <c r="D29" i="77"/>
  <c r="D26" i="77"/>
  <c r="D32" i="77" s="1"/>
  <c r="D38" i="77" s="1"/>
  <c r="D39" i="77" s="1"/>
  <c r="K27" i="6"/>
  <c r="M19" i="6"/>
  <c r="S6" i="1"/>
  <c r="D10" i="11"/>
  <c r="C10" i="11" s="1"/>
  <c r="D20" i="12"/>
  <c r="C20" i="12" s="1"/>
  <c r="F33" i="85"/>
  <c r="J33" i="85"/>
  <c r="H33" i="85"/>
  <c r="C17" i="15"/>
  <c r="D10" i="69"/>
  <c r="D10" i="68"/>
  <c r="C17" i="67"/>
  <c r="C14" i="67"/>
  <c r="C34" i="69"/>
  <c r="C22" i="11" l="1"/>
  <c r="C31" i="11" s="1"/>
  <c r="C15" i="67"/>
  <c r="C18" i="67"/>
  <c r="C10" i="69"/>
  <c r="C8" i="69" s="1"/>
  <c r="C5" i="69" s="1"/>
  <c r="D19" i="69"/>
  <c r="D37" i="69" s="1"/>
  <c r="C37" i="69" s="1"/>
  <c r="C35" i="69"/>
  <c r="C38" i="69"/>
  <c r="C10" i="68"/>
  <c r="B29" i="1" s="1"/>
  <c r="C18" i="12" s="1"/>
  <c r="C21" i="12" s="1"/>
  <c r="D19" i="68"/>
  <c r="D37" i="68" s="1"/>
  <c r="C37" i="68" s="1"/>
  <c r="AB33" i="85"/>
  <c r="T48" i="85" s="1"/>
  <c r="G48" i="85" s="1"/>
  <c r="U33" i="85"/>
  <c r="AA33" i="85"/>
  <c r="R48" i="85" s="1"/>
  <c r="S33" i="85"/>
  <c r="M27" i="6"/>
  <c r="I19" i="6"/>
  <c r="AB7" i="37"/>
  <c r="T42" i="37" s="1"/>
  <c r="G42" i="37" s="1"/>
  <c r="U7" i="37"/>
  <c r="AC33" i="33"/>
  <c r="V48" i="33" s="1"/>
  <c r="I48" i="33" s="1"/>
  <c r="W33" i="33"/>
  <c r="AB33" i="33"/>
  <c r="T48" i="33" s="1"/>
  <c r="G48" i="33" s="1"/>
  <c r="U33" i="33"/>
  <c r="C4" i="52"/>
  <c r="B45" i="72" s="1"/>
  <c r="A10" i="51"/>
  <c r="B9" i="72" s="1"/>
  <c r="A7" i="51"/>
  <c r="B7" i="72" s="1"/>
  <c r="R22" i="6"/>
  <c r="R25" i="6"/>
  <c r="AA7" i="37"/>
  <c r="R42" i="37" s="1"/>
  <c r="S7" i="37"/>
  <c r="B63" i="39"/>
  <c r="F63" i="39" s="1"/>
  <c r="B64" i="39"/>
  <c r="F64" i="39" s="1"/>
  <c r="B60" i="39"/>
  <c r="F60" i="39" s="1"/>
  <c r="B61" i="39"/>
  <c r="F61" i="39" s="1"/>
  <c r="B57" i="39"/>
  <c r="F57" i="39" s="1"/>
  <c r="B58" i="39"/>
  <c r="F58" i="39" s="1"/>
  <c r="B62" i="39"/>
  <c r="F62" i="39" s="1"/>
  <c r="B59" i="39"/>
  <c r="F59" i="39" s="1"/>
  <c r="B56" i="39"/>
  <c r="F56" i="39" s="1"/>
  <c r="F65" i="39" s="1"/>
  <c r="B2" i="39" s="1"/>
  <c r="B3" i="39" s="1"/>
  <c r="B2" i="43"/>
  <c r="AC33" i="85"/>
  <c r="V48" i="85" s="1"/>
  <c r="I48" i="85" s="1"/>
  <c r="W33" i="85"/>
  <c r="T6" i="1"/>
  <c r="AR6" i="1"/>
  <c r="S16" i="1"/>
  <c r="AQ6" i="1"/>
  <c r="E6" i="70"/>
  <c r="E2" i="70" s="1"/>
  <c r="E26" i="77"/>
  <c r="E32" i="77"/>
  <c r="E29" i="77"/>
  <c r="E38" i="77"/>
  <c r="E39" i="77" s="1"/>
  <c r="I63" i="40"/>
  <c r="H65" i="40"/>
  <c r="C66" i="15"/>
  <c r="C60" i="15"/>
  <c r="T12" i="71"/>
  <c r="D12" i="71"/>
  <c r="U12" i="71" s="1"/>
  <c r="C11" i="71"/>
  <c r="AA33" i="33"/>
  <c r="R48" i="33" s="1"/>
  <c r="S33" i="33"/>
  <c r="T16" i="1"/>
  <c r="M16" i="1"/>
  <c r="D16" i="6"/>
  <c r="R26" i="6"/>
  <c r="R20" i="6"/>
  <c r="R23" i="6"/>
  <c r="D27" i="6"/>
  <c r="D31" i="6" s="1"/>
  <c r="M19" i="9"/>
  <c r="C118" i="9" s="1"/>
  <c r="J59" i="34"/>
  <c r="J7" i="37"/>
  <c r="C34" i="68"/>
  <c r="B6" i="76"/>
  <c r="C14" i="15"/>
  <c r="C19" i="67" l="1"/>
  <c r="C20" i="67" s="1"/>
  <c r="C23" i="67" s="1"/>
  <c r="C18" i="15"/>
  <c r="C15" i="15"/>
  <c r="C35" i="68"/>
  <c r="C38" i="68"/>
  <c r="B2" i="76"/>
  <c r="C22" i="12"/>
  <c r="C30" i="12" s="1"/>
  <c r="C28" i="12" s="1"/>
  <c r="W7" i="37"/>
  <c r="AC7" i="37"/>
  <c r="V42" i="37" s="1"/>
  <c r="I42" i="37" s="1"/>
  <c r="K59" i="34"/>
  <c r="L59" i="34" s="1"/>
  <c r="M59" i="34" s="1"/>
  <c r="N59" i="34" s="1"/>
  <c r="O59" i="34" s="1"/>
  <c r="J7" i="34" s="1"/>
  <c r="F7" i="34"/>
  <c r="I6" i="6"/>
  <c r="G3" i="43" s="1"/>
  <c r="I5" i="6"/>
  <c r="R49" i="33"/>
  <c r="E48" i="33"/>
  <c r="C6" i="68"/>
  <c r="B3" i="43"/>
  <c r="L18" i="9"/>
  <c r="S19" i="6"/>
  <c r="S27" i="6" s="1"/>
  <c r="I27" i="6"/>
  <c r="H19" i="6"/>
  <c r="C20" i="69"/>
  <c r="C25" i="69" s="1"/>
  <c r="C23" i="69"/>
  <c r="H7" i="34"/>
  <c r="C34" i="11"/>
  <c r="L16" i="1"/>
  <c r="N16" i="1"/>
  <c r="D11" i="71"/>
  <c r="C10" i="71"/>
  <c r="J63" i="40"/>
  <c r="I65" i="40"/>
  <c r="I52" i="85"/>
  <c r="J52" i="85" s="1"/>
  <c r="R43" i="37"/>
  <c r="E42" i="37"/>
  <c r="G52" i="33"/>
  <c r="H52" i="33" s="1"/>
  <c r="G53" i="33"/>
  <c r="H53" i="33" s="1"/>
  <c r="I53" i="33"/>
  <c r="J53" i="33" s="1"/>
  <c r="I52" i="33"/>
  <c r="J52" i="33" s="1"/>
  <c r="G46" i="37"/>
  <c r="H46" i="37" s="1"/>
  <c r="G47" i="37"/>
  <c r="H47" i="37" s="1"/>
  <c r="R49" i="85"/>
  <c r="E48" i="85"/>
  <c r="I53" i="85" s="1"/>
  <c r="J53" i="85" s="1"/>
  <c r="G53" i="85"/>
  <c r="H53" i="85" s="1"/>
  <c r="G52" i="85"/>
  <c r="H52" i="85" s="1"/>
  <c r="C33" i="69"/>
  <c r="C22" i="69" l="1"/>
  <c r="C26" i="67"/>
  <c r="C28" i="69"/>
  <c r="C27" i="69" s="1"/>
  <c r="C31" i="69" s="1"/>
  <c r="C27" i="12"/>
  <c r="C25" i="12" s="1"/>
  <c r="C32" i="12" s="1"/>
  <c r="B2" i="12" s="1"/>
  <c r="B3" i="12" s="1"/>
  <c r="C33" i="68"/>
  <c r="C42" i="68" s="1"/>
  <c r="C19" i="15"/>
  <c r="C20" i="15" s="1"/>
  <c r="AC7" i="34"/>
  <c r="V49" i="34" s="1"/>
  <c r="I49" i="34" s="1"/>
  <c r="W7" i="34"/>
  <c r="C39" i="69"/>
  <c r="C43" i="69" s="1"/>
  <c r="C42" i="69"/>
  <c r="C49" i="85"/>
  <c r="C48" i="85"/>
  <c r="C43" i="37"/>
  <c r="C42" i="37"/>
  <c r="J65" i="40"/>
  <c r="K63" i="40"/>
  <c r="AB7" i="34"/>
  <c r="T49" i="34" s="1"/>
  <c r="G49" i="34" s="1"/>
  <c r="U7" i="34"/>
  <c r="H27" i="6"/>
  <c r="R19" i="6"/>
  <c r="L19" i="9"/>
  <c r="C49" i="33"/>
  <c r="C48" i="33"/>
  <c r="AA7" i="34"/>
  <c r="R49" i="34" s="1"/>
  <c r="S7" i="34"/>
  <c r="E53" i="85"/>
  <c r="F53" i="85" s="1"/>
  <c r="E52" i="85"/>
  <c r="F52" i="85" s="1"/>
  <c r="E47" i="37"/>
  <c r="F47" i="37" s="1"/>
  <c r="E46" i="37"/>
  <c r="F46" i="37" s="1"/>
  <c r="C9" i="71"/>
  <c r="D10" i="71"/>
  <c r="F50" i="11"/>
  <c r="F50" i="69"/>
  <c r="F50" i="68"/>
  <c r="C35" i="11"/>
  <c r="C38" i="11"/>
  <c r="C33" i="11"/>
  <c r="C7" i="68"/>
  <c r="C5" i="68" s="1"/>
  <c r="E53" i="33"/>
  <c r="F53" i="33" s="1"/>
  <c r="E52" i="33"/>
  <c r="F52" i="33" s="1"/>
  <c r="H26" i="43"/>
  <c r="G26" i="43"/>
  <c r="E26" i="43"/>
  <c r="D26" i="43" s="1"/>
  <c r="F26" i="43"/>
  <c r="N370" i="46"/>
  <c r="J26" i="43"/>
  <c r="N94" i="46"/>
  <c r="Z7" i="43"/>
  <c r="B116" i="43"/>
  <c r="I46" i="37"/>
  <c r="J46" i="37" s="1"/>
  <c r="I47" i="37"/>
  <c r="J47" i="37" s="1"/>
  <c r="C29" i="67"/>
  <c r="C39" i="68" l="1"/>
  <c r="C41" i="69"/>
  <c r="C46" i="69"/>
  <c r="C45" i="69" s="1"/>
  <c r="C23" i="15"/>
  <c r="C26" i="15"/>
  <c r="C20" i="68"/>
  <c r="C25" i="68" s="1"/>
  <c r="C28" i="68"/>
  <c r="C27" i="68" s="1"/>
  <c r="C23" i="68"/>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I121" i="43"/>
  <c r="J121" i="43" s="1"/>
  <c r="K121" i="43" s="1"/>
  <c r="L121" i="43" s="1"/>
  <c r="M121" i="43" s="1"/>
  <c r="G121" i="43"/>
  <c r="H121" i="43" s="1"/>
  <c r="B120" i="43"/>
  <c r="C120" i="43" s="1"/>
  <c r="D121" i="43"/>
  <c r="E121" i="43" s="1"/>
  <c r="F121" i="43" s="1"/>
  <c r="B119" i="43"/>
  <c r="C119" i="43" s="1"/>
  <c r="I120" i="43"/>
  <c r="J120" i="43" s="1"/>
  <c r="K120" i="43" s="1"/>
  <c r="L120" i="43" s="1"/>
  <c r="M120" i="43" s="1"/>
  <c r="I119" i="43"/>
  <c r="J119" i="43" s="1"/>
  <c r="K119" i="43" s="1"/>
  <c r="L119" i="43" s="1"/>
  <c r="M119" i="43" s="1"/>
  <c r="D118" i="43"/>
  <c r="E118" i="43" s="1"/>
  <c r="F118" i="43" s="1"/>
  <c r="G118" i="43" s="1"/>
  <c r="H118" i="43" s="1"/>
  <c r="C39" i="11"/>
  <c r="C43" i="11" s="1"/>
  <c r="C46" i="11"/>
  <c r="C45" i="11" s="1"/>
  <c r="C42" i="11"/>
  <c r="G53" i="34"/>
  <c r="H53" i="34" s="1"/>
  <c r="G54" i="34"/>
  <c r="H54" i="34" s="1"/>
  <c r="R24" i="31"/>
  <c r="B2" i="85"/>
  <c r="B3" i="85"/>
  <c r="C13" i="67"/>
  <c r="J14" i="67"/>
  <c r="C36" i="67"/>
  <c r="Q49" i="67"/>
  <c r="C57" i="67"/>
  <c r="C64" i="67" s="1"/>
  <c r="C8" i="71"/>
  <c r="D9" i="71"/>
  <c r="E49" i="34"/>
  <c r="R50" i="34"/>
  <c r="B2" i="33"/>
  <c r="B3" i="33"/>
  <c r="R6" i="1"/>
  <c r="R27" i="6"/>
  <c r="K65" i="40"/>
  <c r="L63" i="40"/>
  <c r="I53" i="34"/>
  <c r="J53" i="34" s="1"/>
  <c r="I54" i="34"/>
  <c r="J54" i="34" s="1"/>
  <c r="F35" i="15"/>
  <c r="F35" i="67"/>
  <c r="M21" i="15"/>
  <c r="M21" i="67"/>
  <c r="C22" i="68" l="1"/>
  <c r="C31" i="68" s="1"/>
  <c r="C49" i="69"/>
  <c r="C51" i="69" s="1"/>
  <c r="C52" i="69" s="1"/>
  <c r="B2" i="69" s="1"/>
  <c r="C43" i="68"/>
  <c r="C41" i="68" s="1"/>
  <c r="C46" i="68"/>
  <c r="C45" i="68" s="1"/>
  <c r="C41" i="11"/>
  <c r="C49" i="11" s="1"/>
  <c r="C51" i="11" s="1"/>
  <c r="C52" i="11" s="1"/>
  <c r="B2" i="11" s="1"/>
  <c r="B3" i="11" s="1"/>
  <c r="C29" i="15"/>
  <c r="C34" i="67"/>
  <c r="C31" i="67" s="1"/>
  <c r="F63" i="67"/>
  <c r="C62" i="67" s="1"/>
  <c r="C59" i="67" s="1"/>
  <c r="J20" i="67"/>
  <c r="J17" i="67" s="1"/>
  <c r="F63" i="15"/>
  <c r="C62" i="15" s="1"/>
  <c r="C59" i="15" s="1"/>
  <c r="C34" i="15"/>
  <c r="J20" i="15"/>
  <c r="J17" i="15" s="1"/>
  <c r="R16" i="1"/>
  <c r="E54" i="34"/>
  <c r="F54" i="34" s="1"/>
  <c r="E53" i="34"/>
  <c r="F53" i="34" s="1"/>
  <c r="J13" i="67"/>
  <c r="J23" i="67" s="1"/>
  <c r="J22" i="67"/>
  <c r="M63" i="40"/>
  <c r="L65" i="40"/>
  <c r="C49" i="34"/>
  <c r="C50" i="34"/>
  <c r="C7" i="71"/>
  <c r="D8" i="71"/>
  <c r="C37" i="67"/>
  <c r="C75" i="67"/>
  <c r="C56" i="67"/>
  <c r="C65" i="67" s="1"/>
  <c r="Q70" i="67"/>
  <c r="S24" i="31"/>
  <c r="R25" i="31"/>
  <c r="S25" i="31" s="1"/>
  <c r="D116" i="43"/>
  <c r="C118" i="43"/>
  <c r="E6" i="76"/>
  <c r="B3" i="69"/>
  <c r="C30" i="67" l="1"/>
  <c r="C39" i="67" s="1"/>
  <c r="Q69" i="67" s="1"/>
  <c r="Q68" i="67" s="1"/>
  <c r="C49" i="68"/>
  <c r="C51" i="68" s="1"/>
  <c r="S22" i="31"/>
  <c r="R22" i="31" s="1"/>
  <c r="C58" i="67"/>
  <c r="C67" i="67" s="1"/>
  <c r="C68" i="67" s="1"/>
  <c r="C71" i="67" s="1"/>
  <c r="C13" i="15"/>
  <c r="J14" i="15"/>
  <c r="C36" i="15"/>
  <c r="D13" i="77"/>
  <c r="D12" i="77" s="1"/>
  <c r="D11" i="77" s="1"/>
  <c r="C33" i="15"/>
  <c r="C31" i="15" s="1"/>
  <c r="Q49" i="15"/>
  <c r="C57" i="15"/>
  <c r="C64" i="15" s="1"/>
  <c r="E2" i="76"/>
  <c r="B3" i="76" s="1"/>
  <c r="C6" i="71"/>
  <c r="D7" i="71"/>
  <c r="N63" i="40"/>
  <c r="M65" i="40"/>
  <c r="C56" i="11"/>
  <c r="C57" i="11" s="1"/>
  <c r="J16" i="67"/>
  <c r="J25" i="67" s="1"/>
  <c r="J26" i="67" s="1"/>
  <c r="J29" i="67" s="1"/>
  <c r="C57" i="69"/>
  <c r="C56" i="69" s="1"/>
  <c r="L51" i="67"/>
  <c r="C40" i="67" l="1"/>
  <c r="Q65" i="67" s="1"/>
  <c r="Q75" i="67" s="1"/>
  <c r="C80" i="67"/>
  <c r="C79" i="67" s="1"/>
  <c r="C52" i="68"/>
  <c r="B2" i="68" s="1"/>
  <c r="E11" i="77"/>
  <c r="E7" i="77" s="1"/>
  <c r="C27" i="77" s="1"/>
  <c r="D7" i="77"/>
  <c r="C26" i="77" s="1"/>
  <c r="C32" i="77" s="1"/>
  <c r="C38" i="77" s="1"/>
  <c r="C39" i="77" s="1"/>
  <c r="C40" i="77" s="1"/>
  <c r="J13" i="15"/>
  <c r="J23" i="15" s="1"/>
  <c r="J22" i="15"/>
  <c r="C75" i="15"/>
  <c r="C56" i="15"/>
  <c r="C65" i="15" s="1"/>
  <c r="C58" i="15" s="1"/>
  <c r="C67" i="15" s="1"/>
  <c r="C68" i="15" s="1"/>
  <c r="C71" i="15" s="1"/>
  <c r="C37" i="15"/>
  <c r="C30" i="15" s="1"/>
  <c r="C39" i="15" s="1"/>
  <c r="Q70" i="15"/>
  <c r="Q67" i="67"/>
  <c r="O63" i="40"/>
  <c r="O65" i="40" s="1"/>
  <c r="N65" i="40"/>
  <c r="C45" i="67"/>
  <c r="C46" i="67" s="1"/>
  <c r="C5" i="71"/>
  <c r="D6" i="71"/>
  <c r="B3" i="68"/>
  <c r="F20" i="31"/>
  <c r="L51" i="15"/>
  <c r="C43" i="67" l="1"/>
  <c r="C83" i="67"/>
  <c r="C82" i="67" s="1"/>
  <c r="Q56" i="67"/>
  <c r="Q62" i="67" s="1"/>
  <c r="Q47" i="67"/>
  <c r="Q53" i="67" s="1"/>
  <c r="D2" i="67"/>
  <c r="B3" i="67" s="1"/>
  <c r="C57" i="68"/>
  <c r="C56" i="68" s="1"/>
  <c r="Q67" i="15"/>
  <c r="Q69" i="15"/>
  <c r="Q68" i="15" s="1"/>
  <c r="C40" i="15"/>
  <c r="C80" i="15"/>
  <c r="C79" i="15" s="1"/>
  <c r="J16" i="15"/>
  <c r="J25" i="15" s="1"/>
  <c r="J26" i="15" s="1"/>
  <c r="J29" i="15" s="1"/>
  <c r="C41" i="77"/>
  <c r="B2" i="77"/>
  <c r="B3" i="77" s="1"/>
  <c r="B20" i="31"/>
  <c r="D5" i="71"/>
  <c r="M24" i="43" s="1"/>
  <c r="H7" i="40"/>
  <c r="J7" i="40"/>
  <c r="F7" i="40"/>
  <c r="C19" i="9"/>
  <c r="D20" i="9"/>
  <c r="B2" i="67" l="1"/>
  <c r="B2" i="15"/>
  <c r="B3" i="15" s="1"/>
  <c r="Q65" i="15"/>
  <c r="Q75" i="15" s="1"/>
  <c r="Q56" i="15"/>
  <c r="Q62" i="15" s="1"/>
  <c r="C46" i="15"/>
  <c r="C43" i="15"/>
  <c r="Q47" i="15"/>
  <c r="Q53" i="15" s="1"/>
  <c r="C83" i="15"/>
  <c r="C82" i="15" s="1"/>
  <c r="D103" i="9"/>
  <c r="L29" i="1"/>
  <c r="C21" i="9"/>
  <c r="C102" i="9"/>
  <c r="AA7" i="40"/>
  <c r="R42" i="40" s="1"/>
  <c r="S7" i="40"/>
  <c r="U7" i="40"/>
  <c r="AB7" i="40"/>
  <c r="T42" i="40" s="1"/>
  <c r="G42" i="40" s="1"/>
  <c r="W7" i="40"/>
  <c r="AC7" i="40"/>
  <c r="V42" i="40" s="1"/>
  <c r="I42" i="40" s="1"/>
  <c r="B21" i="31"/>
  <c r="D19" i="9"/>
  <c r="C20" i="9"/>
  <c r="AO6" i="1"/>
  <c r="D102" i="9" l="1"/>
  <c r="G19" i="9"/>
  <c r="C32" i="9" s="1"/>
  <c r="D21" i="9"/>
  <c r="D22" i="9"/>
  <c r="B6" i="70"/>
  <c r="B2" i="70" s="1"/>
  <c r="B3" i="70" s="1"/>
  <c r="C103" i="9"/>
  <c r="G20" i="9"/>
  <c r="L30" i="1" s="1"/>
  <c r="R43" i="40"/>
  <c r="E42" i="40"/>
  <c r="I46" i="40"/>
  <c r="J46" i="40" s="1"/>
  <c r="I47" i="40"/>
  <c r="J47" i="40" s="1"/>
  <c r="G47" i="40"/>
  <c r="H47" i="40" s="1"/>
  <c r="G46" i="40"/>
  <c r="H46" i="40" s="1"/>
  <c r="G21" i="9" l="1"/>
  <c r="H118" i="9"/>
  <c r="C35" i="9"/>
  <c r="F118" i="9" s="1"/>
  <c r="E47" i="40"/>
  <c r="F47" i="40" s="1"/>
  <c r="E46" i="40"/>
  <c r="F46" i="40" s="1"/>
  <c r="C42" i="40"/>
  <c r="C43" i="40"/>
  <c r="B58" i="40" l="1"/>
  <c r="F58" i="40" s="1"/>
  <c r="B54" i="40"/>
  <c r="F54" i="40" s="1"/>
  <c r="B53" i="40"/>
  <c r="F53" i="40" s="1"/>
  <c r="B59" i="40"/>
  <c r="F59" i="40" s="1"/>
  <c r="B52" i="40"/>
  <c r="F52" i="40" s="1"/>
  <c r="B56" i="40"/>
  <c r="F56" i="40" s="1"/>
  <c r="B60" i="40"/>
  <c r="F60" i="40" s="1"/>
  <c r="B57" i="40"/>
  <c r="F57" i="40" s="1"/>
  <c r="B51" i="40"/>
  <c r="F51" i="40" s="1"/>
  <c r="F61" i="40"/>
  <c r="B2" i="40" s="1"/>
  <c r="B3" i="40" s="1"/>
  <c r="C34" i="9"/>
  <c r="D118" i="9" s="1"/>
  <c r="G118" i="9"/>
  <c r="G4" i="52" s="1"/>
  <c r="B52" i="72" s="1"/>
  <c r="F4" i="52"/>
  <c r="B51" i="72" s="1"/>
  <c r="F119" i="9"/>
  <c r="F5" i="52" s="1"/>
  <c r="B53" i="72" s="1"/>
  <c r="C104" i="9"/>
  <c r="H101" i="9"/>
  <c r="H4" i="52"/>
  <c r="I118" i="9"/>
  <c r="D14" i="74"/>
  <c r="H119" i="9"/>
  <c r="H5" i="52" s="1"/>
  <c r="E118" i="9" l="1"/>
  <c r="E4" i="52" s="1"/>
  <c r="B48" i="72" s="1"/>
  <c r="H102" i="9"/>
  <c r="D7" i="53" s="1"/>
  <c r="B21" i="72" s="1"/>
  <c r="C105" i="9"/>
  <c r="I4" i="52"/>
  <c r="D45" i="9"/>
  <c r="M48" i="9"/>
  <c r="H107" i="9"/>
  <c r="D5" i="53"/>
  <c r="E14" i="74"/>
  <c r="F14" i="74"/>
  <c r="B5" i="74"/>
  <c r="D119" i="9"/>
  <c r="D5" i="52" s="1"/>
  <c r="B49" i="72" s="1"/>
  <c r="D4" i="52"/>
  <c r="B47" i="72" s="1"/>
  <c r="B20" i="72" l="1"/>
  <c r="D6" i="53"/>
  <c r="B22" i="72" s="1"/>
  <c r="C5" i="74"/>
  <c r="D5" i="74"/>
  <c r="D122" i="9"/>
  <c r="M49" i="9"/>
  <c r="D13" i="53"/>
  <c r="H108" i="9"/>
  <c r="D15" i="53" s="1"/>
  <c r="B31" i="72" s="1"/>
  <c r="D53" i="9"/>
  <c r="C85" i="9"/>
  <c r="C64" i="9"/>
  <c r="C63" i="9" s="1"/>
  <c r="C67" i="9" s="1"/>
  <c r="D52" i="9"/>
  <c r="D55" i="9"/>
  <c r="M53" i="9" s="1"/>
  <c r="C93" i="9"/>
  <c r="C86" i="9" s="1"/>
  <c r="C78" i="9"/>
  <c r="C73" i="9" s="1"/>
  <c r="C72" i="9"/>
  <c r="C79" i="9" l="1"/>
  <c r="C80" i="9" s="1"/>
  <c r="E80" i="9" s="1"/>
  <c r="E81" i="9" s="1"/>
  <c r="C95" i="9"/>
  <c r="L65" i="9"/>
  <c r="M65" i="9" s="1"/>
  <c r="L64" i="9"/>
  <c r="M64" i="9" s="1"/>
  <c r="L68" i="9"/>
  <c r="M68" i="9" s="1"/>
  <c r="L63" i="9"/>
  <c r="M63" i="9" s="1"/>
  <c r="L67" i="9"/>
  <c r="M67" i="9" s="1"/>
  <c r="L66" i="9"/>
  <c r="M66" i="9" s="1"/>
  <c r="D59" i="9"/>
  <c r="M55" i="9" s="1"/>
  <c r="C68" i="9"/>
  <c r="D54" i="9" s="1"/>
  <c r="B30" i="72"/>
  <c r="D14" i="53"/>
  <c r="B32" i="72" s="1"/>
  <c r="D123" i="9"/>
  <c r="D9" i="52" s="1"/>
  <c r="G14" i="74"/>
  <c r="B6" i="74" s="1"/>
  <c r="D8" i="52"/>
  <c r="C81" i="9" l="1"/>
  <c r="C6" i="74"/>
  <c r="D6" i="74"/>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<sst xmlns="http://schemas.openxmlformats.org/spreadsheetml/2006/main" count="8630" uniqueCount="3651">
  <si>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</si>
  <si>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</si>
  <si>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</si>
  <si>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</si>
  <si>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</si>
  <si>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</si>
  <si>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</si>
  <si>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</si>
  <si>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</si>
  <si>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</si>
  <si>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</si>
  <si>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</si>
  <si>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</si>
  <si>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</si>
  <si>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</si>
  <si>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</si>
  <si>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</si>
  <si>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</si>
  <si>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</si>
  <si>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</si>
  <si>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</si>
  <si>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</si>
  <si>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</si>
  <si>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</si>
  <si>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</si>
  <si>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</si>
  <si>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</si>
  <si>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</si>
  <si>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</si>
  <si>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</si>
  <si>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</si>
  <si>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</si>
  <si>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</si>
  <si>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</si>
  <si>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</si>
  <si>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</si>
  <si>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</si>
  <si>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</si>
  <si>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</si>
  <si>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</si>
  <si>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</si>
  <si>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</si>
  <si>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</si>
  <si>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</si>
  <si>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</si>
  <si>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</si>
  <si>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</si>
  <si>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</si>
  <si>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</si>
  <si>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</si>
  <si>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</si>
  <si>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</si>
  <si>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</si>
  <si>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</si>
  <si>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</si>
  <si>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</si>
  <si>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</si>
  <si>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</si>
  <si>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</si>
  <si>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</si>
  <si>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</si>
  <si>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</si>
  <si>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</si>
  <si>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</si>
  <si>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</si>
  <si>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</si>
  <si>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</si>
  <si>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</si>
  <si>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</si>
  <si>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</si>
  <si>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</si>
  <si>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</si>
  <si>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</si>
  <si>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</si>
  <si>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</si>
  <si>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</si>
  <si>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</si>
  <si>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</si>
  <si>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</si>
  <si>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</si>
  <si>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</si>
  <si>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</si>
  <si>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</si>
  <si>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</si>
  <si>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</si>
  <si>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</si>
  <si>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</si>
  <si>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</si>
  <si>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</si>
  <si>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</si>
  <si>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</si>
  <si>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</si>
  <si>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</si>
  <si>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</si>
  <si>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</si>
  <si>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</si>
  <si>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</si>
  <si>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</si>
  <si>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</si>
  <si>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</si>
  <si>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</si>
  <si>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</si>
  <si>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</si>
  <si>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</si>
  <si>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</si>
  <si>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</si>
  <si>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</si>
  <si>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</si>
  <si>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</si>
  <si>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</si>
  <si>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</si>
  <si>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</si>
  <si>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</si>
  <si>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</si>
  <si>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</si>
  <si>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</si>
  <si>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</si>
  <si>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</si>
  <si>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</si>
  <si>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</si>
  <si>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</si>
  <si>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</si>
  <si>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</si>
  <si>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</si>
  <si>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</si>
  <si>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</si>
  <si>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</si>
  <si>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</si>
  <si>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</si>
  <si>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</si>
  <si>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</si>
  <si>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</si>
  <si>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</si>
  <si>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</si>
  <si>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</si>
  <si>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</si>
  <si>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</si>
  <si>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</si>
  <si>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</si>
  <si>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</si>
  <si>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</si>
  <si>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</si>
  <si>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</si>
  <si>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</si>
  <si>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</si>
  <si>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</si>
  <si>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</si>
  <si>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</si>
  <si>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</si>
  <si>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</si>
  <si>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</si>
  <si>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</si>
  <si>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</si>
  <si>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</si>
  <si>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</si>
  <si>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</si>
  <si>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</si>
  <si>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</si>
  <si>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</si>
  <si>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</si>
  <si>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</si>
  <si>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</si>
  <si>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</si>
  <si>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</si>
  <si>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</si>
  <si>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</si>
  <si>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</si>
  <si>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</si>
  <si>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</si>
  <si>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</si>
  <si>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</si>
  <si>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</si>
  <si>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</si>
  <si>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</si>
  <si>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</si>
  <si>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</si>
  <si>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</si>
  <si>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</si>
  <si>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</si>
  <si>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</si>
  <si>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</si>
  <si>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</si>
  <si>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</si>
  <si>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</si>
  <si>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</si>
  <si>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</si>
  <si>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</si>
  <si>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</si>
  <si>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</si>
  <si>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</si>
  <si>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</si>
  <si>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</si>
  <si>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</si>
  <si>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</si>
  <si>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</si>
  <si>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</si>
  <si>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</si>
  <si>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</si>
  <si>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</si>
  <si>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</si>
  <si>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</si>
  <si>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</si>
  <si>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</si>
  <si>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</si>
  <si>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</si>
  <si>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</si>
  <si>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</si>
  <si>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</si>
  <si>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</si>
  <si>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</si>
  <si>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</si>
  <si>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</si>
  <si>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</si>
  <si>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</si>
  <si>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</si>
  <si>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</si>
  <si>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</si>
  <si>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</si>
  <si>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</si>
  <si>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</si>
  <si>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</si>
  <si>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</si>
  <si>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</si>
  <si>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</si>
  <si>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</si>
  <si>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</si>
  <si>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</si>
  <si>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</si>
  <si>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</si>
  <si>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</si>
  <si>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</si>
  <si>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</si>
  <si>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</si>
  <si>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</si>
  <si>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</si>
  <si>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</si>
  <si>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</si>
  <si>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</si>
  <si>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</si>
  <si>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</si>
  <si>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</si>
  <si>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</si>
  <si>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</si>
  <si>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</si>
  <si>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</si>
  <si>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</si>
  <si>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</si>
  <si>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</si>
  <si>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</si>
  <si>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</si>
  <si>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</si>
  <si>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</si>
  <si>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</si>
  <si>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</si>
  <si>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</si>
  <si>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</si>
  <si>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</si>
  <si>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</si>
  <si>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</si>
  <si>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</si>
  <si>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</si>
  <si>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</si>
  <si>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</si>
  <si>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</si>
  <si>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</si>
  <si>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</si>
  <si>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</si>
  <si>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</si>
  <si>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</si>
  <si>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</si>
  <si>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</si>
  <si>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</si>
  <si>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</si>
  <si>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</si>
  <si>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</si>
  <si>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</si>
  <si>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</si>
  <si>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</si>
  <si>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</si>
  <si>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</si>
  <si>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</si>
  <si>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</si>
  <si>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</si>
  <si>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</si>
  <si>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</si>
  <si>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</si>
  <si>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</si>
  <si>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</si>
  <si>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</si>
  <si>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</si>
  <si>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</si>
  <si>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</si>
  <si>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</si>
  <si>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</si>
  <si>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</si>
  <si>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</si>
  <si>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</si>
  <si>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</si>
  <si>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</si>
  <si>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</si>
  <si>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</si>
  <si>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</si>
  <si>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</si>
  <si>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</si>
  <si>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</si>
  <si>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</si>
  <si>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</si>
  <si>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</si>
  <si>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</si>
  <si>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</si>
  <si>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</si>
  <si>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</si>
  <si>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</si>
  <si>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</si>
  <si>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</si>
  <si>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</si>
  <si>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</si>
  <si>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</si>
  <si>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</si>
  <si>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</si>
  <si>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</si>
  <si>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</si>
  <si>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</si>
  <si>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</si>
  <si>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</si>
  <si>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</si>
  <si>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</si>
  <si>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</si>
  <si>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</si>
  <si>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</si>
  <si>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</si>
  <si>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</si>
  <si>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</si>
  <si>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</si>
  <si>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</si>
  <si>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</si>
  <si>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</si>
  <si>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</si>
  <si>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</si>
  <si>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</si>
  <si>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</si>
  <si>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</si>
  <si>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</si>
  <si>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</si>
  <si>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</si>
  <si>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</si>
  <si>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</si>
  <si>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</si>
  <si>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</si>
  <si>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</si>
  <si>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</si>
  <si>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</si>
  <si>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</si>
  <si>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</si>
  <si>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</si>
  <si>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</si>
  <si>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</si>
  <si>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</si>
  <si>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</si>
  <si>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</si>
  <si>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</si>
  <si>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</si>
  <si>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</si>
  <si>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</si>
  <si>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</si>
  <si>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</si>
  <si>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</si>
  <si>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</si>
  <si>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</si>
  <si>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</si>
  <si>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</si>
  <si>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</si>
  <si>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</si>
  <si>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</si>
  <si>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</si>
  <si>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</si>
  <si>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</si>
  <si>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</si>
  <si>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</si>
  <si>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</si>
  <si>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</si>
  <si>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</si>
  <si>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</si>
  <si>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</si>
  <si>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</si>
  <si>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</si>
  <si>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</si>
  <si>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</si>
  <si>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</si>
  <si>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</si>
  <si>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</si>
  <si>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</si>
  <si>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</si>
  <si>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</si>
  <si>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</si>
  <si>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</si>
  <si>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</si>
  <si>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</si>
  <si>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</si>
  <si>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</si>
  <si>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</si>
  <si>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</si>
  <si>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</si>
  <si>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</si>
  <si>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</si>
  <si>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</si>
  <si>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</si>
  <si>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</si>
  <si>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</si>
  <si>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</si>
  <si>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</si>
  <si>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</si>
  <si>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</si>
  <si>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</si>
  <si>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</si>
  <si>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</si>
  <si>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</si>
  <si>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</si>
  <si>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</si>
  <si>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</si>
  <si>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</si>
  <si>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</si>
  <si>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</si>
  <si>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</si>
  <si>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</si>
  <si>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</si>
  <si>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</si>
  <si>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</si>
  <si>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</si>
  <si>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</si>
  <si>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</si>
  <si>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</si>
  <si>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</si>
  <si>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</si>
  <si>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</si>
  <si>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</si>
  <si>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</si>
  <si>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</si>
  <si>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</si>
  <si>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</si>
  <si>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</si>
  <si>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</si>
  <si>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</si>
  <si>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</si>
  <si>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</si>
  <si>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</si>
  <si>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</si>
  <si>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</si>
  <si>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</si>
  <si>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</si>
  <si>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</si>
  <si>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</si>
  <si>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</si>
  <si>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</si>
  <si>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</si>
  <si>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</si>
  <si>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</si>
  <si>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</si>
  <si>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</si>
  <si>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</si>
  <si>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</si>
  <si>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</si>
  <si>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</si>
  <si>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</si>
  <si>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</si>
  <si>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</si>
  <si>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</si>
  <si>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</si>
  <si>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</si>
  <si>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</si>
  <si>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</si>
  <si>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</si>
  <si>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</si>
  <si>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</si>
  <si>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</si>
  <si>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</si>
  <si>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</si>
  <si>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</si>
  <si>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</si>
  <si>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</si>
  <si>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</si>
  <si>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</si>
  <si>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</si>
  <si>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</si>
  <si>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</si>
  <si>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</si>
  <si>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</si>
  <si>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</si>
  <si>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</si>
  <si>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</si>
  <si>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</si>
  <si>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</si>
  <si>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</si>
  <si>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</si>
  <si>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</si>
  <si>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</si>
  <si>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</si>
  <si>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</si>
  <si>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</si>
  <si>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</si>
  <si>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</si>
  <si>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</si>
  <si>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</si>
  <si>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</si>
  <si>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</si>
  <si>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</si>
  <si>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</si>
  <si>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</si>
  <si>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</si>
  <si>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</si>
  <si>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</si>
  <si>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</si>
  <si>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</si>
  <si>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</si>
  <si>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</si>
  <si>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</si>
  <si>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</si>
  <si>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</si>
  <si>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</si>
  <si>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</si>
  <si>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</si>
  <si>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</si>
  <si>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</si>
  <si>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</si>
  <si>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</si>
  <si>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</si>
  <si>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</si>
  <si>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</si>
  <si>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</si>
  <si>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</si>
  <si>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</si>
  <si>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</si>
  <si>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</si>
  <si>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</si>
  <si>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</si>
  <si>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</si>
  <si>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</si>
  <si>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</si>
  <si>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</si>
  <si>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</si>
  <si>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</si>
  <si>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</si>
  <si>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</si>
  <si>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</si>
  <si>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</si>
  <si>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</si>
  <si>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</si>
  <si>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</si>
  <si>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</si>
  <si>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</si>
  <si>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</si>
  <si>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</si>
  <si>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</si>
  <si>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</si>
  <si>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</si>
  <si>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</si>
  <si>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</si>
  <si>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</si>
  <si>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</si>
  <si>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</si>
  <si>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</si>
  <si>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</si>
  <si>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</si>
  <si>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</si>
  <si>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</si>
  <si>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</si>
  <si>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</si>
  <si>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</si>
  <si>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</si>
  <si>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</si>
  <si>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</si>
  <si>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</si>
  <si>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</si>
  <si>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</si>
  <si>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</si>
  <si>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</si>
  <si>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</si>
  <si>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</si>
  <si>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</si>
  <si>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</si>
  <si>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</si>
  <si>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</si>
  <si>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</si>
  <si>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</si>
  <si>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</si>
  <si>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</si>
  <si>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</si>
  <si>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</si>
  <si>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</si>
  <si>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</si>
  <si>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</si>
  <si>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</si>
  <si>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</si>
  <si>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</si>
  <si>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</si>
  <si>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</si>
  <si>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</si>
  <si>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</si>
  <si>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</si>
  <si>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</si>
  <si>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</si>
  <si>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</si>
  <si>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</si>
  <si>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</si>
  <si>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</si>
  <si>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</si>
  <si>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</si>
  <si>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</si>
  <si>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</si>
  <si>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</si>
  <si>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</si>
  <si>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</si>
  <si>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</si>
  <si>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</si>
  <si>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</si>
  <si>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</si>
  <si>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</si>
  <si>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</si>
  <si>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</si>
  <si>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</si>
  <si>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</si>
  <si>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</si>
  <si>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</si>
  <si>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</si>
  <si>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</si>
  <si>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</si>
  <si>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</si>
  <si>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</si>
  <si>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</si>
  <si>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</si>
  <si>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</si>
  <si>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</si>
  <si>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</si>
  <si>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</si>
  <si>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</si>
  <si>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</si>
  <si>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</si>
  <si>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</si>
  <si>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</si>
  <si>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</si>
  <si>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</si>
  <si>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</si>
  <si>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</si>
  <si>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</si>
  <si>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</si>
  <si>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</si>
  <si>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</si>
  <si>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</si>
  <si>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</si>
  <si>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</si>
  <si>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</si>
  <si>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</si>
  <si>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</si>
  <si>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</si>
  <si>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</si>
  <si>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</si>
  <si>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</si>
  <si>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</si>
  <si>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</si>
  <si>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</si>
  <si>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</si>
  <si>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</si>
  <si>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</si>
  <si>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</si>
  <si>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</si>
  <si>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</si>
  <si>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</si>
  <si>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</si>
  <si>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</si>
  <si>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</si>
  <si>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</si>
  <si>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</si>
  <si>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</si>
  <si>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</si>
  <si>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</si>
  <si>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</si>
  <si>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</si>
  <si>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</si>
  <si>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</si>
  <si>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</si>
  <si>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</si>
  <si>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</si>
  <si>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</si>
  <si>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</si>
  <si>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</si>
  <si>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</si>
  <si>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</si>
  <si>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</si>
  <si>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</si>
  <si>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</si>
  <si>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</si>
  <si>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</si>
  <si>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</si>
  <si>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</si>
  <si>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</si>
  <si>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</si>
  <si>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</si>
  <si>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</si>
  <si>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</si>
  <si>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</si>
  <si>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</si>
  <si>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</si>
  <si>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</si>
  <si>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</si>
  <si>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</si>
  <si>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</si>
  <si>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</si>
  <si>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</si>
  <si>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</si>
  <si>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</si>
  <si>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</si>
  <si>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</si>
  <si>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</si>
  <si>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</si>
  <si>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</si>
  <si>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</si>
  <si>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</si>
  <si>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</si>
  <si>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</si>
  <si>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</si>
  <si>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</si>
  <si>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</si>
  <si>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</si>
  <si>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</si>
  <si>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</si>
  <si>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</si>
  <si>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</si>
  <si>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</si>
  <si>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</si>
  <si>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</si>
  <si>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</si>
  <si>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</si>
  <si>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</si>
  <si>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</si>
  <si>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</si>
  <si>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</si>
  <si>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</si>
  <si>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</si>
  <si>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</si>
  <si>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</si>
  <si>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</si>
  <si>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</si>
  <si>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</si>
  <si>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</si>
  <si>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</si>
  <si>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</si>
  <si>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</si>
  <si>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</si>
  <si>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</si>
  <si>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</si>
  <si>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</si>
  <si>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</si>
  <si>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</si>
  <si>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</si>
  <si>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</si>
  <si>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</si>
  <si>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</si>
  <si>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</si>
  <si>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</si>
  <si>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</si>
  <si>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</si>
  <si>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</si>
  <si>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</si>
  <si>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</si>
  <si>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</si>
  <si>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</si>
  <si>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</si>
  <si>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</si>
  <si>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</si>
  <si>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</si>
  <si>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</si>
  <si>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</si>
  <si>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</si>
  <si>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</si>
  <si>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</si>
  <si>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</si>
  <si>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</si>
  <si>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</si>
  <si>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</si>
  <si>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</si>
  <si>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</si>
  <si>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</si>
  <si>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</si>
  <si>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</si>
  <si>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</si>
  <si>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</si>
  <si>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</si>
  <si>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</si>
  <si>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</si>
  <si>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</si>
  <si>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</si>
  <si>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</si>
  <si>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</si>
  <si>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</si>
  <si>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</si>
  <si>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</si>
  <si>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</si>
  <si>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</si>
  <si>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</si>
  <si>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</si>
  <si>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</si>
  <si>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</si>
  <si>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</si>
  <si>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</si>
  <si>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</si>
  <si>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</si>
  <si>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</si>
  <si>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</si>
  <si>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</si>
  <si>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</si>
  <si>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</si>
  <si>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</si>
  <si>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</si>
  <si>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</si>
  <si>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</si>
  <si>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</si>
  <si>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</si>
  <si>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</si>
  <si>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</si>
  <si>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</si>
  <si>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</si>
  <si>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</si>
  <si>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</si>
  <si>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</si>
  <si>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</si>
  <si>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</si>
  <si>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</si>
  <si>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</si>
  <si>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</si>
  <si>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</si>
  <si>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</si>
  <si>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</si>
  <si>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</si>
  <si>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</si>
  <si>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</si>
  <si>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</si>
  <si>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</si>
  <si>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</si>
  <si>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</si>
  <si>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</si>
  <si>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</si>
  <si>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</si>
  <si>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</si>
  <si>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</si>
  <si>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</si>
  <si>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</si>
  <si>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</si>
  <si>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</si>
  <si>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</si>
  <si>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</si>
  <si>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</si>
  <si>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</si>
  <si>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</si>
  <si>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</si>
  <si>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</si>
  <si>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</si>
  <si>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</si>
  <si>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</si>
  <si>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</si>
  <si>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</si>
  <si>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</si>
  <si>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</si>
  <si>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</si>
  <si>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</si>
  <si>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</si>
  <si>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</si>
  <si>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</si>
  <si>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</si>
  <si>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</si>
  <si>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</si>
  <si>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</si>
  <si>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</si>
  <si>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</si>
  <si>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</si>
  <si>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</si>
  <si>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</si>
  <si>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</si>
  <si>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</si>
  <si>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</si>
  <si>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</si>
  <si>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</si>
  <si>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</si>
  <si>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</si>
  <si>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</si>
  <si>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</si>
  <si>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</si>
  <si>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</si>
  <si>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</si>
  <si>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</si>
  <si>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</si>
  <si>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</si>
  <si>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</si>
  <si>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</si>
  <si>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</si>
  <si>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</si>
  <si>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</si>
  <si>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</si>
  <si>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</si>
  <si>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</si>
  <si>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</si>
  <si>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</si>
  <si>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</si>
  <si>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</si>
  <si>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</si>
  <si>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</si>
  <si>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</si>
  <si>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</si>
  <si>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</si>
  <si>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</si>
  <si>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</si>
  <si>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</si>
  <si>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</si>
  <si>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</si>
  <si>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</si>
  <si>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</si>
  <si>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</si>
  <si>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</si>
  <si>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</si>
  <si>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</si>
  <si>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</si>
  <si>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</si>
  <si>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</si>
  <si>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</si>
  <si>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</si>
  <si>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</si>
  <si>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</si>
  <si>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</si>
  <si>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</si>
  <si>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</si>
  <si>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</si>
  <si>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</si>
  <si>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</si>
  <si>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</si>
  <si>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</si>
  <si>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</si>
  <si>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</si>
  <si>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</si>
  <si>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</si>
  <si>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</si>
  <si>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</si>
  <si>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</si>
  <si>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</si>
  <si>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</si>
  <si>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</si>
  <si>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</si>
  <si>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</si>
  <si>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</si>
  <si>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</si>
  <si>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</si>
  <si>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</si>
  <si>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</si>
  <si>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</si>
  <si>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</si>
  <si>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</si>
  <si>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</si>
  <si>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</si>
  <si>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</si>
  <si>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</si>
  <si>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</si>
  <si>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</si>
  <si>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</si>
  <si>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</si>
  <si>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</si>
  <si>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</si>
  <si>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</si>
  <si>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</si>
  <si>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</si>
  <si>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</si>
  <si>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</si>
  <si>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</si>
  <si>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</si>
  <si>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</si>
  <si>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</si>
  <si>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</si>
  <si>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</si>
  <si>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</si>
  <si>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</si>
  <si>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</si>
  <si>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</si>
  <si>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</si>
  <si>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</si>
  <si>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</si>
  <si>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</si>
  <si>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</si>
  <si>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</si>
  <si>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</si>
  <si>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</si>
  <si>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</si>
  <si>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</si>
  <si>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</si>
  <si>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</si>
  <si>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</si>
  <si>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</si>
  <si>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</si>
  <si>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</si>
  <si>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</si>
  <si>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</si>
  <si>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</si>
  <si>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</si>
  <si>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</si>
  <si>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</si>
  <si>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</si>
  <si>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</si>
  <si>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</si>
  <si>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</si>
  <si>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</si>
  <si>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</si>
  <si>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</si>
  <si>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</si>
  <si>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</si>
  <si>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</si>
  <si>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</si>
  <si>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</si>
  <si>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</si>
  <si>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</si>
  <si>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</si>
  <si>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</si>
  <si>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</si>
  <si>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</si>
  <si>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</si>
  <si>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</si>
  <si>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</si>
  <si>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</si>
  <si>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</si>
  <si>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</si>
  <si>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</si>
  <si>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</si>
  <si>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</si>
  <si>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</si>
  <si>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</si>
  <si>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</si>
  <si>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</si>
  <si>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</si>
  <si>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</si>
  <si>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</si>
  <si>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</si>
  <si>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</si>
  <si>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</si>
  <si>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</si>
  <si>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</si>
  <si>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</si>
  <si>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</si>
  <si>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</si>
  <si>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</si>
  <si>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</si>
  <si>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</si>
  <si>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</si>
  <si>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</si>
  <si>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</si>
  <si>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</si>
  <si>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</si>
  <si>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</si>
  <si>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</si>
  <si>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</si>
  <si>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</si>
  <si>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</si>
  <si>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</si>
  <si>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</si>
  <si>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</si>
  <si>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</si>
  <si>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</si>
  <si>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</si>
  <si>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</si>
  <si>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</si>
  <si>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</si>
  <si>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</si>
  <si>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</si>
  <si>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</si>
  <si>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</si>
  <si>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</si>
  <si>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</si>
  <si>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</si>
  <si>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</si>
  <si>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</si>
  <si>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</si>
  <si>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</si>
  <si>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</si>
  <si>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</si>
  <si>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</si>
  <si>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</si>
  <si>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</si>
  <si>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</si>
  <si>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</si>
  <si>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</si>
  <si>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</si>
  <si>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</si>
  <si>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</si>
  <si>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</si>
  <si>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</si>
  <si>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</si>
  <si>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</si>
  <si>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</si>
  <si>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</si>
  <si>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</si>
  <si>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</si>
  <si>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</si>
  <si>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</si>
  <si>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</si>
  <si>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</si>
  <si>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</si>
  <si>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</si>
  <si>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</si>
  <si>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</si>
  <si>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</si>
  <si>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</si>
  <si>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</si>
  <si>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</si>
  <si>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</si>
  <si>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</si>
  <si>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</si>
  <si>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</si>
  <si>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</si>
  <si>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</si>
  <si>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</si>
  <si>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</si>
  <si>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</si>
  <si>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</si>
  <si>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</si>
  <si>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</si>
  <si>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</si>
  <si>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</si>
  <si>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</si>
  <si>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</si>
  <si>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</si>
  <si>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</si>
  <si>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</si>
  <si>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</si>
  <si>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</si>
  <si>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</si>
  <si>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</si>
  <si>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</si>
  <si>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</si>
  <si>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</si>
  <si>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</si>
  <si>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</si>
  <si>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</si>
  <si>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</si>
  <si>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</si>
  <si>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</si>
  <si>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</si>
  <si>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</si>
  <si>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</si>
  <si>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</si>
  <si>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</si>
  <si>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</si>
  <si>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</si>
  <si>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</si>
  <si>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</si>
  <si>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</si>
  <si>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</si>
  <si>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</si>
  <si>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</si>
  <si>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</si>
  <si>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</si>
  <si>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</si>
  <si>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</si>
  <si>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</si>
  <si>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</si>
  <si>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</si>
  <si>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</si>
  <si>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</si>
  <si>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</si>
  <si>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</si>
  <si>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</si>
  <si>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</si>
  <si>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</si>
  <si>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</si>
  <si>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</si>
  <si>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</si>
  <si>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</si>
  <si>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</si>
  <si>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</si>
  <si>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</si>
  <si>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</si>
  <si>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</si>
  <si>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</si>
  <si>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</si>
  <si>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</si>
  <si>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</si>
  <si>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</si>
  <si>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</si>
  <si>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</si>
  <si>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</si>
  <si>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</si>
  <si>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</si>
  <si>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</si>
  <si>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</si>
  <si>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</si>
  <si>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</si>
  <si>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</si>
  <si>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</si>
  <si>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</si>
  <si>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</si>
  <si>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</si>
  <si>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</si>
  <si>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</si>
  <si>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</si>
  <si>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</si>
  <si>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</si>
  <si>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</si>
  <si>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</si>
  <si>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</si>
  <si>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</si>
  <si>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</si>
  <si>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</si>
  <si>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</si>
  <si>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</si>
  <si>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</si>
  <si>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</si>
  <si>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</si>
  <si>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</si>
  <si>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</si>
  <si>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</si>
  <si>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</si>
  <si>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</si>
  <si>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</si>
  <si>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</si>
  <si>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</si>
  <si>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</si>
  <si>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</si>
  <si>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</si>
  <si>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</si>
  <si>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</si>
  <si>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</si>
  <si>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</si>
  <si>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</si>
  <si>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</si>
  <si>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</si>
  <si>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</si>
  <si>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</si>
  <si>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</si>
  <si>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</si>
  <si>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</si>
  <si>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</si>
  <si>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</si>
  <si>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</si>
  <si>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</si>
  <si>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</si>
  <si>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</si>
  <si>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</si>
  <si>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</si>
  <si>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</si>
  <si>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</si>
  <si>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</si>
  <si>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</si>
  <si>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</si>
  <si>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</si>
  <si>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</si>
  <si>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</si>
  <si>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</si>
  <si>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</si>
  <si>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</si>
  <si>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</si>
  <si>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</si>
  <si>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</si>
  <si>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</si>
  <si>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</si>
  <si>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</si>
  <si>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</si>
  <si>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</si>
  <si>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</si>
  <si>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</si>
  <si>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</si>
  <si>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</si>
  <si>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</si>
  <si>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</si>
  <si>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</si>
  <si>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</si>
  <si>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</si>
  <si>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</si>
  <si>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</si>
  <si>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</si>
  <si>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</si>
  <si>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</si>
  <si>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</si>
  <si>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</si>
  <si>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</si>
  <si>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</si>
  <si>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</si>
  <si>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</si>
  <si>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</si>
  <si>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</si>
  <si>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</si>
  <si>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</si>
  <si>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</si>
  <si>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</si>
  <si>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</si>
  <si>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</si>
  <si>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</si>
  <si>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</si>
  <si>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</si>
  <si>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</si>
  <si>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</si>
  <si>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</si>
  <si>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</si>
  <si>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</si>
  <si>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</si>
  <si>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</si>
  <si>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</si>
  <si>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</si>
  <si>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</si>
  <si>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</si>
  <si>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</si>
  <si>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</si>
  <si>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</si>
  <si>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</si>
  <si>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</si>
  <si>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</si>
  <si>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</si>
  <si>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</si>
  <si>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</si>
  <si>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</si>
  <si>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</si>
  <si>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</si>
  <si>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</si>
  <si>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</si>
  <si>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</si>
  <si>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</si>
  <si>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</si>
  <si>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</si>
  <si>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</si>
  <si>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</si>
  <si>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</si>
  <si>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</si>
  <si>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</si>
  <si>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</si>
  <si>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</si>
  <si>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</si>
  <si>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</si>
  <si>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</si>
  <si>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</si>
  <si>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</si>
  <si>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</si>
  <si>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</si>
  <si>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</si>
  <si>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</si>
  <si>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</si>
  <si>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</si>
  <si>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</si>
  <si>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</si>
  <si>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</si>
  <si>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</si>
  <si>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</si>
  <si>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</si>
  <si>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</si>
  <si>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</si>
  <si>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</si>
  <si>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</si>
  <si>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</si>
  <si>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</si>
  <si>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</si>
  <si>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</si>
  <si>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</si>
  <si>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</si>
  <si>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</si>
  <si>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</si>
  <si>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</si>
  <si>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</si>
  <si>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</si>
  <si>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</si>
  <si>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</si>
  <si>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</si>
  <si>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</si>
  <si>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</si>
  <si>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</si>
  <si>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</si>
  <si>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</si>
  <si>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</si>
  <si>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</si>
  <si>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</si>
  <si>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</si>
  <si>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</si>
  <si>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</si>
  <si>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</si>
  <si>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</si>
  <si>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</si>
  <si>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</si>
  <si>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</si>
  <si>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</si>
  <si>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</si>
  <si>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</si>
  <si>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</si>
  <si>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</si>
  <si>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</si>
  <si>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</si>
  <si>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</si>
  <si>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</si>
  <si>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</si>
  <si>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</si>
  <si>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</si>
  <si>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</si>
  <si>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</si>
  <si>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</si>
  <si>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</si>
  <si>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</si>
  <si>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</si>
  <si>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</si>
  <si>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</si>
  <si>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</si>
  <si>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</si>
  <si>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</si>
  <si>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</si>
  <si>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</si>
  <si>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</si>
  <si>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</si>
  <si>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</si>
  <si>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</si>
  <si>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</si>
  <si>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</si>
  <si>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</si>
  <si>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</si>
  <si>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</si>
  <si>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</si>
  <si>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</si>
  <si>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</si>
  <si>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</si>
  <si>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</si>
  <si>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</si>
  <si>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</si>
  <si>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</si>
  <si>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</si>
  <si>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</si>
  <si>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</si>
  <si>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</si>
  <si>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</si>
  <si>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</si>
  <si>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</si>
  <si>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</si>
  <si>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</si>
  <si>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</si>
  <si>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</si>
  <si>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</si>
  <si>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</si>
  <si>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</si>
  <si>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</si>
  <si>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</si>
  <si>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</si>
  <si>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</si>
  <si>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</si>
  <si>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</si>
  <si>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</si>
  <si>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</si>
  <si>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</si>
  <si>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</si>
  <si>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</si>
  <si>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</si>
  <si>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</si>
  <si>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</si>
  <si>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</si>
  <si>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</si>
  <si>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</si>
  <si>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</si>
  <si>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</si>
  <si>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</si>
  <si>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</si>
  <si>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</si>
  <si>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</si>
  <si>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</si>
  <si>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</si>
  <si>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</si>
  <si>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</si>
  <si>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</si>
  <si>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</si>
  <si>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</si>
  <si>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</si>
  <si>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</si>
  <si>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</si>
  <si>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</si>
  <si>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</si>
  <si>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</si>
  <si>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</si>
  <si>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</si>
  <si>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</si>
  <si>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</si>
  <si>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</si>
  <si>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</si>
  <si>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</si>
  <si>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</si>
  <si>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</si>
  <si>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</si>
  <si>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</si>
  <si>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</si>
  <si>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</si>
  <si>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</si>
  <si>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</si>
  <si>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</si>
  <si>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</si>
  <si>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</si>
  <si>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</si>
  <si>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</si>
  <si>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</si>
  <si>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</si>
  <si>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</si>
  <si>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</si>
  <si>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</si>
  <si>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</si>
  <si>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</si>
  <si>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</si>
  <si>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</si>
  <si>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</si>
  <si>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</si>
  <si>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</si>
  <si>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</si>
  <si>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</si>
  <si>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</si>
  <si>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</si>
  <si>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</si>
  <si>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</si>
  <si>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</si>
  <si>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</si>
  <si>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</si>
  <si>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</si>
  <si>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</si>
  <si>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</si>
  <si>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</si>
  <si>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</si>
  <si>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</si>
  <si>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</si>
  <si>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</si>
  <si>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</si>
  <si>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</si>
  <si>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</si>
  <si>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</si>
  <si>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</si>
  <si>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</si>
  <si>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</si>
  <si>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</si>
  <si>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</si>
  <si>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</si>
  <si>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</si>
  <si>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</si>
  <si>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</si>
  <si>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</si>
  <si>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</si>
  <si>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</si>
  <si>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</si>
  <si>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</si>
  <si>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</si>
  <si>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</si>
  <si>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</si>
  <si>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</si>
  <si>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</si>
  <si>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</si>
  <si>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</si>
  <si>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</si>
  <si>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</si>
  <si>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</si>
  <si>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</si>
  <si>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</si>
  <si>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</si>
  <si>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</si>
  <si>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</si>
  <si>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</si>
  <si>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</si>
  <si>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</si>
  <si>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</si>
  <si>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</si>
  <si>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</si>
  <si>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</si>
  <si>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</si>
  <si>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</si>
  <si>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</si>
  <si>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</si>
  <si>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</si>
  <si>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</si>
  <si>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</si>
  <si>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</si>
  <si>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</si>
  <si>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</si>
  <si>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</si>
  <si>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</si>
  <si>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</si>
  <si>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</si>
  <si>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</si>
  <si>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</si>
  <si>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</si>
  <si>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</si>
  <si>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</si>
  <si>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</si>
  <si>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</si>
  <si>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</si>
  <si>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</si>
  <si>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</si>
  <si>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</si>
  <si>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</si>
  <si>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</si>
  <si>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</si>
  <si>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</si>
  <si>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</si>
  <si>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</si>
  <si>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</si>
  <si>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</si>
  <si>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</si>
  <si>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</si>
  <si>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</si>
  <si>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</si>
  <si>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</si>
  <si>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</si>
  <si>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</si>
  <si>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</si>
  <si>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</si>
  <si>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</si>
  <si>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</si>
  <si>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</si>
  <si>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</si>
  <si>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</si>
  <si>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</si>
  <si>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</si>
  <si>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</si>
  <si>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</si>
  <si>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</si>
  <si>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</si>
  <si>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</si>
  <si>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</si>
  <si>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</si>
  <si>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</si>
  <si>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</si>
  <si>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</si>
  <si>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</si>
  <si>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</si>
  <si>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</si>
  <si>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</si>
  <si>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</si>
  <si>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</si>
  <si>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</si>
  <si>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</si>
  <si>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</si>
  <si>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</si>
  <si>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</si>
  <si>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</si>
  <si>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</si>
  <si>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</si>
  <si>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</si>
  <si>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</si>
  <si>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</si>
  <si>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</si>
  <si>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</si>
  <si>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</si>
  <si>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</si>
  <si>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</si>
  <si>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</si>
  <si>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</si>
  <si>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</si>
  <si>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</si>
  <si>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</si>
  <si>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</si>
  <si>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</si>
  <si>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</si>
  <si>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</si>
  <si>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</si>
  <si>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</si>
  <si>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</si>
  <si>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</si>
  <si>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</si>
  <si>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</si>
  <si>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</si>
  <si>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</si>
  <si>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</si>
  <si>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</si>
  <si>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</si>
  <si>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</si>
  <si>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</si>
  <si>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</si>
  <si>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</si>
  <si>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</si>
  <si>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</si>
  <si>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</si>
  <si>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</si>
  <si>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</si>
  <si>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</si>
  <si>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</si>
  <si>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</si>
  <si>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</si>
  <si>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</si>
  <si>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</si>
  <si>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</si>
  <si>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</si>
  <si>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</si>
  <si>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</si>
  <si>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</si>
  <si>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</si>
  <si>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</si>
  <si>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</si>
  <si>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</si>
  <si>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</si>
  <si>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</si>
  <si>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</si>
  <si>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</si>
  <si>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</si>
  <si>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</si>
  <si>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</si>
  <si>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</si>
  <si>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</si>
  <si>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</si>
  <si>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</si>
  <si>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</si>
  <si>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</si>
  <si>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</si>
  <si>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</si>
  <si>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</si>
  <si>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</si>
  <si>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</si>
  <si>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</si>
  <si>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</si>
  <si>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</si>
  <si>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</si>
  <si>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</si>
  <si>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</si>
  <si>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</si>
  <si>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</si>
  <si>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</si>
  <si>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</si>
  <si>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</si>
  <si>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</si>
  <si>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</si>
  <si>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</si>
  <si>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</si>
  <si>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</si>
  <si>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</si>
  <si>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</si>
  <si>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</si>
  <si>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</si>
  <si>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</si>
  <si>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</si>
  <si>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</si>
  <si>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</si>
  <si>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</si>
  <si>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</si>
  <si>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</si>
  <si>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</si>
  <si>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</si>
  <si>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</si>
  <si>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</si>
  <si>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</si>
  <si>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</si>
  <si>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</si>
  <si>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</si>
  <si>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</si>
  <si>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</si>
  <si>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</si>
  <si>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</si>
  <si>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</si>
  <si>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</si>
  <si>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</si>
  <si>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</si>
  <si>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</si>
  <si>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</si>
  <si>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</si>
  <si>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</si>
  <si>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</si>
  <si>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</si>
  <si>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</si>
  <si>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</si>
  <si>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</si>
  <si>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</si>
  <si>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</si>
  <si>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</si>
  <si>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</si>
  <si>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</si>
  <si>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</si>
  <si>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</si>
  <si>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</si>
  <si>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</si>
  <si>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</si>
  <si>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</si>
  <si>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</si>
  <si>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</si>
  <si>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</si>
  <si>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</si>
  <si>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</si>
  <si>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</si>
  <si>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</si>
  <si>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</si>
  <si>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</si>
  <si>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</si>
  <si>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</si>
  <si>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</si>
  <si>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</si>
  <si>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</si>
  <si>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</si>
  <si>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</si>
  <si>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</si>
  <si>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</si>
  <si>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</si>
  <si>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</si>
  <si>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</si>
  <si>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</si>
  <si>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</si>
  <si>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</si>
  <si>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</si>
  <si>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</si>
  <si>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</si>
  <si>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</si>
  <si>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</si>
  <si>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</si>
  <si>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</si>
  <si>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</si>
  <si>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</si>
  <si>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</si>
  <si>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</si>
  <si>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</si>
  <si>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</si>
  <si>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</si>
  <si>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</si>
  <si>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</si>
  <si>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</si>
  <si>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</si>
  <si>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</si>
  <si>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</si>
  <si>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</si>
  <si>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</si>
  <si>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</si>
  <si>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</si>
  <si>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</si>
  <si>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</si>
  <si>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</si>
  <si>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</si>
  <si>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</si>
  <si>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</si>
  <si>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</si>
  <si>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</si>
  <si>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</si>
  <si>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</si>
  <si>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</si>
  <si>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</si>
  <si>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</si>
  <si>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</si>
  <si>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</si>
  <si>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</si>
  <si>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</si>
  <si>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</si>
  <si>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</si>
  <si>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</si>
  <si>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</si>
  <si>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</si>
  <si>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</si>
  <si>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</si>
  <si>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</si>
  <si>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</si>
  <si>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</si>
  <si>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</si>
  <si>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</si>
  <si>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</si>
  <si>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</si>
  <si>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</si>
  <si>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</si>
  <si>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</si>
  <si>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</si>
  <si>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</si>
  <si>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</si>
  <si>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</si>
  <si>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</si>
  <si>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</si>
  <si>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</si>
  <si>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</si>
  <si>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</si>
  <si>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</si>
  <si>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</si>
  <si>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</si>
  <si>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</si>
  <si>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</si>
  <si>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</si>
  <si>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</si>
  <si>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</si>
  <si>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</si>
  <si>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</si>
  <si>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</si>
  <si>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</si>
  <si>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</si>
  <si>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</si>
  <si>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</si>
  <si>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</si>
  <si>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</si>
  <si>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</si>
  <si>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</si>
  <si>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</si>
  <si>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</si>
  <si>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</si>
  <si>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</si>
  <si>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</si>
  <si>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</si>
  <si>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</si>
  <si>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</si>
  <si>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</si>
  <si>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</si>
  <si>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</si>
  <si>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</si>
  <si>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</si>
  <si>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</si>
  <si>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</si>
  <si>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</si>
  <si>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</si>
  <si>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</si>
  <si>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</si>
  <si>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</si>
  <si>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</si>
  <si>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</si>
  <si>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</si>
  <si>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</si>
  <si>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</si>
  <si>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</si>
  <si>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</si>
  <si>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</si>
  <si>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</si>
  <si>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</si>
  <si>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</si>
  <si>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</si>
  <si>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</si>
  <si>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</si>
  <si>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</si>
  <si>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</si>
  <si>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</si>
  <si>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</si>
  <si>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</si>
  <si>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</si>
  <si>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</si>
  <si>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</si>
  <si>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</si>
  <si>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</si>
  <si>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</si>
  <si>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</si>
  <si>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</si>
  <si>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</si>
  <si>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</si>
  <si>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</si>
  <si>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</si>
  <si>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</si>
  <si>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</si>
  <si>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</si>
  <si>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</si>
  <si>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</si>
  <si>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</si>
  <si>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</si>
  <si>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</si>
  <si>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</si>
  <si>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</si>
  <si>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</si>
  <si>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</si>
  <si>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</si>
  <si>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</si>
  <si>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</si>
  <si>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</si>
  <si>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</si>
  <si>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</si>
  <si>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</si>
  <si>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</si>
  <si>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</si>
  <si>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</si>
  <si>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</si>
  <si>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</si>
  <si>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</si>
  <si>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</si>
  <si>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</si>
  <si>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</si>
  <si>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</si>
  <si>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</si>
  <si>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</si>
  <si>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</si>
  <si>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</si>
  <si>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</si>
  <si>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</si>
  <si>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</si>
  <si>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</si>
  <si>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</si>
  <si>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</si>
  <si>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</si>
  <si>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</si>
  <si>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</si>
  <si>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</si>
  <si>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</si>
  <si>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</si>
  <si>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</si>
  <si>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</si>
  <si>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</si>
  <si>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</si>
  <si>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</si>
  <si>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</si>
  <si>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</si>
  <si>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</si>
  <si>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</si>
  <si>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</si>
  <si>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</si>
  <si>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</si>
  <si>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</si>
  <si>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</si>
  <si>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</si>
  <si>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</si>
  <si>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</si>
  <si>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</si>
  <si>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</si>
  <si>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</si>
  <si>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</si>
  <si>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</si>
  <si>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</si>
  <si>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</si>
  <si>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</si>
  <si>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</si>
  <si>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</si>
  <si>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</si>
  <si>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</si>
  <si>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</si>
  <si>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</si>
  <si>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</si>
  <si>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</si>
  <si>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</si>
  <si>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</si>
  <si>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</si>
  <si>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</si>
  <si>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</si>
  <si>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</si>
  <si>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</si>
  <si>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</si>
  <si>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</si>
  <si>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</si>
  <si>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</si>
  <si>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</si>
  <si>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</si>
  <si>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</si>
  <si>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</si>
  <si>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</si>
  <si>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</si>
  <si>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</si>
  <si>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</si>
  <si>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</si>
  <si>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</si>
  <si>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</si>
  <si>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</si>
  <si>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</si>
  <si>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</si>
  <si>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</si>
  <si>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</si>
  <si>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</si>
  <si>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</si>
  <si>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</si>
  <si>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</si>
  <si>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</si>
  <si>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</si>
  <si>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</si>
  <si>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</si>
  <si>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</si>
  <si>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</si>
  <si>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</si>
  <si>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</si>
  <si>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</si>
  <si>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</si>
  <si>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</si>
  <si>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</si>
  <si>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</si>
  <si>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</si>
  <si>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</si>
  <si>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</si>
  <si>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</si>
  <si>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</si>
  <si>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</si>
  <si>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</si>
  <si>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</si>
  <si>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</si>
  <si>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</si>
  <si>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</si>
  <si>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</si>
  <si>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</si>
  <si>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</si>
  <si>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</si>
  <si>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</si>
  <si>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</si>
  <si>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</si>
  <si>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</si>
  <si>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</si>
  <si>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</si>
  <si>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</si>
  <si>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</si>
  <si>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</si>
  <si>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</si>
  <si>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</si>
  <si>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</si>
  <si>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</si>
  <si>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</si>
  <si>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</si>
  <si>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</si>
  <si>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</si>
  <si>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</si>
  <si>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</si>
  <si>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</si>
  <si>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</si>
  <si>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</si>
  <si>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</si>
  <si>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</si>
  <si>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</si>
  <si>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</si>
  <si>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</si>
  <si>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</si>
  <si>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</si>
  <si>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</si>
  <si>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</si>
  <si>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</si>
  <si>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</si>
  <si>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</si>
  <si>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</si>
  <si>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</si>
  <si>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</si>
  <si>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</si>
  <si>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</si>
  <si>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</si>
  <si>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</si>
  <si>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</si>
  <si>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</si>
  <si>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</si>
  <si>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</si>
  <si>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</si>
  <si>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</si>
  <si>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</si>
  <si>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</si>
  <si>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</si>
  <si>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</si>
  <si>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</si>
  <si>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</si>
  <si>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</si>
  <si>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</si>
  <si>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</si>
  <si>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</si>
  <si>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</si>
  <si>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</si>
  <si>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</si>
  <si>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</si>
  <si>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</si>
  <si>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</si>
  <si>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</si>
  <si>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</si>
  <si>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</si>
  <si>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</si>
  <si>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</si>
  <si>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</si>
  <si>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</si>
  <si>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</si>
  <si>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</si>
  <si>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</si>
  <si>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</si>
  <si>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</si>
  <si>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</si>
  <si>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</si>
  <si>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</si>
  <si>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</si>
  <si>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</si>
  <si>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</si>
  <si>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</si>
  <si>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</si>
  <si>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</si>
  <si>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</si>
  <si>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</si>
  <si>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</si>
  <si>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</si>
  <si>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</si>
  <si>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</si>
  <si>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</si>
  <si>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</si>
  <si>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</si>
  <si>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</si>
  <si>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</si>
  <si>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</si>
  <si>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</si>
  <si>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</si>
  <si>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</si>
  <si>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</si>
  <si>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</si>
  <si>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</si>
  <si>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</si>
  <si>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</si>
  <si>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</si>
  <si>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</si>
  <si>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</si>
  <si>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</si>
  <si>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</si>
  <si>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</si>
  <si>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</si>
  <si>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</si>
  <si>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</si>
  <si>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</si>
  <si>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</si>
  <si>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</si>
  <si>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</si>
  <si>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</si>
  <si>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</si>
  <si>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</si>
  <si>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</si>
  <si>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</si>
  <si>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</si>
  <si>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</si>
  <si>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</si>
  <si>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</si>
  <si>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</si>
  <si>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</si>
  <si>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</si>
  <si>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</si>
  <si>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</si>
  <si>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</si>
  <si>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</si>
  <si>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</si>
  <si>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</si>
  <si>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</si>
  <si>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</si>
  <si>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</si>
  <si>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</si>
  <si>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</si>
  <si>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</si>
  <si>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</si>
  <si>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</si>
  <si>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</si>
  <si>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</si>
  <si>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</si>
  <si>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</si>
  <si>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</si>
  <si>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</si>
  <si>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</si>
  <si>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</si>
  <si>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</si>
  <si>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</si>
  <si>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</si>
  <si>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</si>
  <si>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</si>
  <si>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</si>
  <si>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</si>
  <si>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</si>
  <si>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</si>
  <si>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</si>
  <si>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</si>
  <si>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</si>
  <si>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</si>
  <si>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</si>
  <si>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</si>
  <si>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</si>
  <si>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</si>
  <si>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</si>
  <si>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</si>
  <si>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</si>
  <si>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</si>
  <si>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</si>
  <si>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</si>
  <si>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</si>
  <si>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</si>
  <si>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</si>
  <si>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</si>
  <si>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</si>
  <si>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</si>
  <si>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</si>
  <si>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</si>
  <si>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</si>
  <si>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</si>
  <si>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</si>
  <si>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</si>
  <si>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</si>
  <si>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</si>
  <si>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</si>
  <si>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</si>
  <si>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</si>
  <si>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</si>
  <si>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</si>
  <si>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</si>
  <si>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</si>
  <si>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</si>
  <si>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</si>
  <si>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</si>
  <si>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</si>
  <si>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</si>
  <si>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</si>
  <si>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</si>
  <si>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</si>
  <si>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</si>
  <si>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</si>
  <si>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</si>
  <si>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</si>
  <si>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</si>
  <si>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</si>
  <si>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</si>
  <si>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</si>
  <si>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</si>
  <si>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</si>
  <si>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</si>
  <si>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</si>
  <si>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</si>
  <si>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</si>
  <si>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</si>
  <si>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</si>
  <si>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</si>
  <si>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</si>
  <si>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</si>
  <si>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</si>
  <si>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</si>
  <si>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</si>
  <si>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</si>
  <si>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</si>
  <si>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</si>
  <si>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</si>
  <si>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</si>
  <si>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</si>
  <si>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</si>
  <si>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</si>
  <si>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</si>
  <si>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</si>
  <si>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</si>
  <si>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</si>
  <si>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</si>
  <si>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</si>
  <si>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</si>
  <si>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</si>
  <si>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</si>
  <si>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</si>
  <si>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</si>
  <si>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</si>
  <si>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</si>
  <si>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</si>
  <si>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</si>
  <si>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</si>
  <si>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</si>
  <si>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</si>
  <si>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</si>
  <si>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</si>
  <si>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</si>
  <si>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</si>
  <si>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</si>
  <si>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</si>
  <si>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</si>
  <si>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</si>
  <si>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</si>
  <si>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</si>
  <si>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</si>
  <si>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</si>
  <si>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</si>
  <si>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</si>
  <si>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</si>
  <si>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</si>
  <si>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</si>
  <si>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</si>
  <si>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</si>
  <si>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</si>
  <si>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</si>
  <si>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</si>
  <si>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</si>
  <si>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</si>
  <si>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</si>
  <si>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</si>
  <si>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</si>
  <si>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</si>
  <si>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</si>
  <si>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</si>
  <si>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</si>
  <si>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</si>
  <si>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</si>
  <si>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</si>
  <si>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</si>
  <si>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</si>
  <si>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</si>
  <si>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</si>
  <si>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</si>
  <si>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</si>
  <si>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</si>
  <si>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</si>
  <si>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</si>
  <si>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</si>
  <si>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</si>
  <si>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</si>
  <si>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</si>
  <si>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</si>
  <si>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</si>
  <si>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</si>
  <si>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</si>
  <si>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</si>
  <si>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</si>
  <si>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</si>
  <si>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</si>
  <si>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</si>
  <si>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</si>
  <si>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</si>
  <si>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</si>
  <si>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</si>
  <si>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</si>
  <si>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</si>
  <si>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</si>
  <si>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</si>
  <si>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</si>
  <si>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</si>
  <si>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</si>
  <si>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</si>
  <si>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</si>
  <si>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</si>
  <si>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</si>
  <si>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</si>
  <si>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</si>
  <si>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</si>
  <si>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</si>
  <si>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</si>
  <si>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</si>
  <si>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</si>
  <si>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</si>
  <si>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</si>
  <si>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</si>
  <si>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</si>
  <si>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</si>
  <si>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</si>
  <si>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</si>
  <si>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</si>
  <si>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</si>
  <si>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</si>
  <si>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</si>
  <si>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</si>
  <si>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</si>
  <si>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</si>
  <si>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</si>
  <si>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</si>
  <si>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</si>
  <si>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</si>
  <si>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</si>
  <si>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</si>
  <si>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</si>
  <si>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</si>
  <si>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</si>
  <si>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</si>
  <si>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</si>
  <si>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</si>
  <si>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</si>
  <si>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</si>
  <si>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</si>
  <si>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</si>
  <si>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</si>
  <si>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</si>
  <si>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</si>
  <si>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</si>
  <si>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</si>
  <si>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</si>
  <si>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</si>
  <si>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</si>
  <si>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</si>
  <si>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</si>
  <si>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</si>
  <si>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</si>
  <si>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</si>
  <si>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</si>
  <si>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</si>
  <si>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</si>
  <si>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</si>
  <si>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</si>
  <si>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</si>
  <si>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</si>
  <si>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</si>
  <si>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</si>
  <si>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</si>
  <si>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</si>
  <si>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</si>
  <si>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</si>
  <si>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</si>
  <si>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</si>
  <si>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</si>
  <si>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</si>
  <si>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</si>
  <si>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</si>
  <si>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</si>
  <si>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</si>
  <si>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</si>
  <si>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</si>
  <si>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</si>
  <si>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</si>
  <si>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</si>
  <si>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</si>
  <si>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</si>
  <si>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</si>
  <si>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</si>
  <si>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</si>
  <si>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</si>
  <si>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</si>
  <si>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</si>
  <si>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</si>
  <si>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</si>
  <si>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</si>
  <si>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</si>
  <si>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</si>
  <si>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</si>
  <si>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</si>
  <si>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</si>
  <si>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</si>
  <si>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</si>
  <si>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</si>
  <si>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</si>
  <si>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</si>
  <si>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</si>
  <si>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</si>
  <si>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</si>
  <si>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</si>
  <si>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</si>
  <si>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</si>
  <si>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</si>
  <si>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</si>
  <si>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</si>
  <si>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</si>
  <si>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</si>
  <si>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</si>
  <si>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</si>
  <si>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</si>
  <si>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</si>
  <si>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</si>
  <si>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</si>
  <si>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</si>
  <si>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</si>
  <si>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</si>
  <si>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</si>
  <si>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</si>
  <si>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</si>
  <si>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</si>
  <si>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</si>
  <si>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</si>
  <si>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</si>
  <si>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</si>
  <si>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</si>
  <si>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</si>
  <si>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</si>
  <si>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</si>
  <si>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</si>
  <si>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</si>
  <si>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</si>
  <si>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</si>
  <si>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</si>
  <si>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</si>
  <si>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</si>
  <si>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</si>
  <si>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</si>
  <si>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</si>
  <si>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</si>
  <si>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</si>
  <si>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</si>
  <si>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</si>
  <si>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</si>
  <si>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</si>
  <si>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</si>
  <si>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</si>
  <si>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</si>
  <si>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</si>
  <si>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</si>
  <si>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</si>
  <si>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</si>
  <si>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</si>
  <si>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</si>
  <si>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</si>
  <si>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</si>
  <si>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</si>
  <si>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</si>
  <si>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</si>
  <si>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</si>
  <si>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</si>
  <si>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</si>
  <si>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</si>
  <si>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</si>
  <si>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</si>
  <si>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</si>
  <si>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</si>
  <si>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</si>
  <si>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</si>
  <si>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</si>
  <si>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</si>
  <si>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</si>
  <si>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</si>
  <si>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</si>
  <si>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</si>
  <si>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</si>
  <si>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</si>
  <si>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</si>
  <si>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</si>
  <si>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</si>
  <si>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</si>
  <si>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</si>
  <si>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</si>
  <si>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</si>
  <si>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</si>
  <si>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</si>
  <si>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</si>
  <si>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</si>
  <si>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</si>
  <si>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</si>
  <si>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</si>
  <si>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</si>
  <si>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</si>
  <si>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</si>
  <si>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</si>
  <si>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</si>
  <si>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</si>
  <si>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</si>
  <si>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</si>
  <si>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</si>
  <si>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</si>
  <si>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</si>
  <si>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</si>
  <si>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</si>
  <si>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</si>
  <si>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</si>
  <si>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</si>
  <si>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</si>
  <si>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</si>
  <si>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</si>
  <si>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</si>
  <si>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</si>
  <si>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</si>
  <si>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</si>
  <si>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</si>
  <si>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</si>
  <si>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</si>
  <si>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</si>
  <si>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</si>
  <si>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</si>
  <si>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</si>
  <si>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</si>
  <si>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</si>
  <si>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</si>
  <si>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</si>
  <si>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</si>
  <si>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</si>
  <si>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</si>
  <si>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</si>
  <si>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</si>
  <si>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</si>
  <si>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</si>
  <si>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</si>
  <si>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</si>
  <si>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</si>
  <si>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</si>
  <si>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</si>
  <si>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</si>
  <si>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</si>
  <si>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</si>
  <si>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</si>
  <si>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</si>
  <si>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</si>
  <si>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</si>
  <si>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</si>
  <si>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</si>
  <si>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</si>
  <si>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</si>
  <si>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</si>
  <si>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</si>
  <si>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</si>
  <si>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</si>
  <si>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</si>
  <si>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</si>
  <si>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</si>
  <si>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</si>
  <si>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</si>
  <si>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</si>
  <si>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</si>
  <si>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</si>
  <si>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</si>
  <si>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</si>
  <si>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</si>
  <si>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</si>
  <si>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</si>
  <si>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</si>
  <si>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</si>
  <si>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</si>
  <si>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</si>
  <si>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</si>
  <si>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</si>
  <si>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</si>
  <si>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</si>
  <si>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</si>
  <si>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</si>
  <si>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</si>
  <si>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</si>
  <si>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</si>
  <si>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</si>
  <si>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</si>
  <si>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</si>
  <si>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</si>
  <si>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</si>
  <si>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</si>
  <si>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</si>
  <si>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</si>
  <si>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</si>
  <si>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</si>
  <si>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</si>
  <si>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</si>
  <si>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</si>
  <si>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</si>
  <si>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</si>
  <si>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</si>
  <si>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</si>
  <si>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</si>
  <si>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</si>
  <si>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</si>
  <si>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</si>
  <si>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</si>
  <si>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</si>
  <si>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</si>
  <si>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</si>
  <si>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</si>
  <si>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</si>
  <si>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</si>
  <si>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</si>
  <si>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</si>
  <si>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</si>
  <si>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</si>
  <si>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</si>
  <si>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</si>
  <si>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</si>
  <si>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</si>
  <si>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</si>
  <si>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</si>
  <si>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</si>
  <si>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</si>
  <si>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</si>
  <si>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</si>
  <si>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</si>
  <si>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</si>
  <si>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</si>
  <si>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</si>
  <si>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</si>
  <si>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</si>
  <si>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</si>
  <si>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</si>
  <si>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</si>
  <si>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</si>
  <si>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</si>
  <si>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</si>
  <si>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</si>
  <si>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</si>
  <si>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</si>
  <si>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</si>
  <si>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</si>
  <si>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</si>
  <si>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</si>
  <si>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</si>
  <si>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</si>
  <si>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</si>
  <si>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</si>
  <si>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</si>
  <si>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</si>
  <si>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</si>
  <si>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</si>
  <si>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</si>
  <si>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</si>
  <si>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</si>
  <si>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</si>
  <si>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</si>
  <si>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</si>
  <si>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</si>
  <si>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</si>
  <si>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</si>
  <si>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</si>
  <si>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</si>
  <si>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</si>
  <si>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</si>
  <si>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</si>
  <si>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</si>
  <si>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</si>
  <si>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</si>
  <si>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</si>
  <si>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</si>
  <si>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</si>
  <si>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</si>
  <si>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</si>
  <si>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</si>
  <si>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</si>
  <si>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</si>
  <si>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</si>
  <si>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</si>
  <si>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</si>
  <si>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</si>
  <si>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</si>
  <si>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</si>
  <si>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</si>
  <si>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</si>
  <si>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</si>
  <si>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</si>
  <si>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</si>
  <si>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</si>
  <si>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</si>
  <si>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</si>
  <si>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</si>
  <si>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</si>
  <si>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</si>
  <si>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</si>
  <si>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</si>
  <si>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</si>
  <si>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</si>
  <si>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</si>
  <si>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</si>
  <si>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</si>
  <si>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</si>
  <si>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</si>
  <si>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</si>
  <si>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</si>
  <si>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</si>
  <si>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</si>
  <si>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</si>
  <si>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</si>
  <si>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</si>
  <si>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</si>
  <si>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</si>
  <si>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</si>
  <si>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</si>
  <si>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</si>
  <si>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</si>
  <si>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</si>
  <si>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</si>
  <si>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</si>
  <si>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</si>
  <si>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</si>
  <si>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</si>
  <si>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</si>
  <si>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</si>
  <si>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</si>
  <si>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</si>
  <si>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</si>
  <si>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</si>
  <si>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</si>
  <si>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</si>
  <si>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</si>
  <si>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</si>
  <si>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</si>
  <si>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</si>
  <si>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</si>
  <si>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</si>
  <si>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</si>
  <si>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</si>
  <si>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</si>
  <si>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</si>
  <si>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</si>
  <si>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</si>
  <si>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</si>
  <si>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</si>
  <si>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</si>
  <si>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</si>
  <si>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</si>
  <si>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</si>
  <si>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</si>
  <si>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</si>
  <si>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</si>
  <si>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</si>
  <si>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</si>
  <si>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</si>
  <si>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</si>
  <si>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</si>
  <si>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</si>
  <si>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</si>
  <si>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</si>
  <si>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</si>
  <si>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</si>
  <si>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</si>
  <si>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</si>
  <si>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</si>
  <si>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</si>
  <si>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</si>
  <si>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</si>
  <si>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</si>
  <si>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</si>
  <si>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</si>
  <si>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</si>
  <si>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</si>
  <si>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</si>
  <si>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</si>
  <si>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</si>
  <si>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</si>
  <si>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</si>
  <si>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</si>
  <si>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</si>
  <si>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</si>
  <si>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</si>
  <si>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</si>
  <si>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</si>
  <si>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</si>
  <si>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</si>
  <si>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</si>
  <si>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</si>
  <si>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</si>
  <si>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</si>
  <si>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</si>
  <si>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</si>
  <si>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</si>
  <si>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</si>
  <si>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</si>
  <si>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</si>
  <si>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</si>
  <si>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</si>
  <si>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</si>
  <si>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</si>
  <si>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</si>
  <si>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</si>
  <si>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</si>
  <si>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</si>
  <si>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</si>
  <si>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</si>
  <si>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</si>
  <si>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</si>
  <si>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</si>
  <si>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</si>
  <si>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</si>
  <si>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</si>
  <si>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</si>
  <si>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</si>
  <si>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</si>
  <si>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</si>
  <si>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</si>
  <si>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</si>
  <si>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</si>
  <si>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</si>
  <si>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</si>
  <si>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</si>
  <si>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</si>
  <si>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</si>
  <si>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</si>
  <si>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</si>
  <si>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</si>
  <si>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</si>
  <si>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</si>
  <si>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</si>
  <si>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</si>
  <si>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</si>
  <si>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</si>
  <si>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</si>
  <si>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</si>
  <si>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</si>
  <si>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</si>
  <si>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</si>
  <si>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</si>
  <si>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</si>
  <si>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</si>
  <si>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</si>
  <si>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</si>
  <si>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</si>
  <si>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</si>
  <si>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</si>
  <si>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</si>
  <si>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</si>
  <si>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</si>
  <si>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</si>
  <si>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</si>
  <si>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</si>
  <si>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</si>
  <si>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</si>
  <si>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</si>
  <si>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</si>
  <si>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</si>
  <si>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</si>
  <si>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</si>
  <si>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</si>
  <si>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</si>
  <si>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</si>
  <si>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</si>
  <si>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</si>
  <si>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</si>
  <si>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</si>
  <si>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</si>
  <si>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</si>
  <si>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</si>
  <si>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</si>
  <si>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</si>
  <si>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</si>
  <si>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</si>
  <si>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</si>
  <si>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</si>
  <si>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</si>
  <si>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</si>
  <si>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</si>
  <si>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</si>
  <si>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</si>
  <si>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</si>
  <si>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</si>
  <si>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</si>
  <si>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</si>
  <si>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</si>
  <si>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</si>
  <si>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</si>
  <si>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</si>
  <si>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</si>
  <si>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</si>
  <si>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</si>
  <si>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</si>
  <si>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</si>
  <si>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</si>
  <si>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</si>
  <si>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</si>
  <si>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</si>
  <si>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</si>
  <si>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</si>
  <si>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</si>
  <si>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</si>
  <si>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</si>
  <si>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</si>
  <si>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</si>
  <si>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</si>
  <si>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</si>
  <si>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</si>
  <si>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</si>
  <si>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</si>
  <si>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</si>
  <si>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</si>
  <si>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</si>
  <si>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</si>
  <si>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</si>
  <si>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</si>
  <si>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</si>
  <si>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</si>
  <si>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</si>
  <si>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</si>
  <si>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</si>
  <si>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</si>
  <si>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</si>
  <si>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</si>
  <si>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</si>
  <si>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</si>
  <si>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</si>
  <si>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</si>
  <si>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</si>
  <si>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</si>
  <si>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</si>
  <si>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</si>
  <si>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</si>
  <si>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</si>
  <si>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</si>
  <si>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</si>
  <si>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</si>
  <si>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</si>
  <si>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</si>
  <si>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</si>
  <si>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</si>
  <si>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</si>
  <si>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</si>
  <si>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</si>
  <si>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</si>
  <si>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</si>
  <si>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</si>
  <si>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</si>
  <si>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</si>
  <si>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</si>
  <si>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</si>
  <si>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</si>
  <si>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</si>
  <si>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</si>
  <si>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</si>
  <si>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</si>
  <si>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</si>
  <si>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</si>
  <si>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</si>
  <si>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</si>
  <si>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</si>
  <si>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</si>
  <si>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</si>
  <si>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</si>
  <si>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</si>
  <si>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</si>
  <si>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</si>
  <si>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</si>
  <si>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</si>
  <si>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</si>
  <si>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</si>
  <si>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</si>
  <si>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</si>
  <si>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</si>
  <si>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</si>
  <si>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</si>
  <si>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</si>
  <si>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</si>
  <si>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</si>
  <si>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</si>
  <si>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</si>
  <si>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</si>
  <si>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</si>
  <si>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</si>
  <si>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</si>
  <si>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</si>
  <si>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</si>
  <si>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</si>
  <si>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</si>
  <si>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</si>
  <si>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</si>
  <si>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</si>
  <si>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</si>
  <si>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</si>
  <si>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</si>
  <si>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</si>
  <si>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</si>
  <si>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</si>
  <si>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</si>
  <si>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</si>
  <si>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</si>
  <si>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</si>
  <si>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</si>
  <si>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</si>
  <si>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</si>
  <si>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</si>
  <si>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</si>
  <si>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</si>
  <si>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</si>
  <si>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</si>
  <si>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</si>
  <si>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</si>
  <si>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</si>
  <si>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</si>
  <si>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</si>
  <si>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</si>
  <si>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</si>
  <si>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</si>
  <si>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</si>
  <si>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</si>
  <si>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</si>
  <si>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</si>
  <si>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</si>
  <si>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</si>
  <si>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</si>
  <si>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</si>
  <si>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</si>
  <si>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</si>
  <si>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</si>
  <si>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</si>
  <si>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</si>
  <si>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</si>
  <si>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</si>
  <si>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</si>
  <si>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</si>
  <si>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</si>
  <si>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</si>
  <si>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</si>
  <si>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</si>
  <si>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</si>
  <si>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</si>
  <si>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</si>
  <si>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</si>
  <si>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</si>
  <si>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</si>
  <si>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</si>
  <si>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</si>
  <si>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</si>
  <si>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</si>
  <si>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</si>
  <si>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</si>
  <si>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</si>
  <si>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</si>
  <si>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</si>
  <si>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</si>
  <si>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</si>
  <si>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</si>
  <si>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</si>
  <si>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</si>
  <si>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</si>
  <si>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</si>
  <si>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</si>
  <si>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</si>
  <si>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</si>
  <si>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</si>
  <si>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</si>
  <si>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</si>
  <si>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</si>
  <si>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</si>
  <si>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</si>
  <si>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</si>
  <si>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</si>
  <si>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</si>
  <si>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</si>
  <si>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</si>
  <si>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</si>
  <si>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</si>
  <si>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</si>
  <si>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</si>
  <si>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</si>
  <si>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</si>
  <si>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</si>
  <si>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</si>
  <si>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</si>
  <si>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</si>
  <si>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</si>
  <si>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</si>
  <si>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</si>
  <si>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</si>
  <si>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</si>
  <si>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</si>
  <si>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</si>
  <si>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</si>
  <si>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</si>
  <si>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</si>
  <si>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</si>
  <si>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</si>
  <si>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</si>
  <si>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</si>
  <si>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</si>
  <si>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</si>
  <si>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</si>
  <si>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</si>
  <si>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</si>
  <si>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</si>
  <si>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</si>
  <si>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</si>
  <si>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</si>
  <si>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</si>
  <si>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</si>
  <si>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</si>
  <si>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</si>
  <si>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</si>
  <si>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</si>
  <si>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</si>
  <si>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</si>
  <si>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</si>
  <si>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</si>
  <si>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</si>
  <si>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</si>
  <si>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</si>
  <si>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</si>
  <si>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</si>
  <si>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</si>
  <si>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</si>
  <si>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</si>
  <si>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</si>
  <si>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</si>
  <si>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</si>
  <si>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</si>
  <si>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</si>
  <si>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</si>
  <si>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</si>
  <si>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</si>
  <si>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</si>
  <si>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</si>
  <si>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</si>
  <si>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</si>
  <si>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</si>
  <si>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</si>
  <si>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</si>
  <si>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</si>
  <si>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</si>
  <si>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</si>
  <si>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</si>
  <si>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</si>
  <si>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</si>
  <si>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</si>
  <si>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</si>
  <si>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</si>
  <si>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</si>
  <si>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</si>
  <si>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</si>
  <si>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</si>
  <si>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</si>
  <si>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</si>
  <si>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</si>
  <si>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</si>
  <si>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</si>
  <si>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</si>
  <si>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</si>
  <si>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</si>
  <si>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</si>
  <si>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</si>
  <si>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</si>
  <si>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</si>
  <si>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</si>
  <si>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</si>
  <si>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</si>
  <si>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</si>
  <si>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</si>
  <si>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</si>
  <si>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</si>
  <si>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</si>
  <si>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</si>
  <si>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</si>
  <si>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</si>
  <si>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</si>
  <si>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</si>
  <si>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</si>
  <si>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</si>
  <si>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</si>
  <si>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</si>
  <si>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</si>
  <si>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</si>
  <si>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</si>
  <si>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</si>
  <si>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</si>
  <si>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</si>
  <si>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</si>
  <si>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</si>
  <si>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</si>
  <si>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</si>
  <si>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</si>
  <si>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</si>
  <si>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</si>
  <si>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</si>
  <si>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</si>
  <si>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</si>
  <si>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</si>
  <si>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</si>
  <si>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</si>
  <si>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</si>
  <si>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</si>
  <si>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</si>
  <si>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</si>
  <si>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</si>
  <si>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</si>
  <si>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</si>
  <si>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</si>
  <si>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</si>
  <si>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</si>
  <si>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</si>
  <si>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</si>
  <si>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</si>
  <si>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</si>
  <si>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</si>
  <si>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</si>
  <si>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</si>
  <si>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</si>
  <si>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</si>
  <si>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</si>
  <si>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</si>
  <si>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</si>
  <si>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</si>
  <si>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</si>
  <si>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</si>
  <si>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</si>
  <si>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</si>
  <si>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</si>
  <si>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</si>
  <si>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</si>
  <si>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</si>
  <si>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</si>
  <si>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</si>
  <si>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</si>
  <si>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</si>
  <si>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</si>
  <si>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</si>
  <si>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</si>
  <si>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</si>
  <si>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</si>
  <si>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</si>
  <si>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</si>
  <si>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</si>
  <si>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</si>
  <si>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</si>
  <si>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</si>
  <si>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</si>
  <si>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</si>
  <si>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</si>
  <si>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</si>
  <si>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</si>
  <si>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</si>
  <si>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</si>
  <si>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</si>
  <si>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</si>
  <si>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</si>
  <si>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</si>
  <si>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</si>
  <si>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</si>
  <si>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</si>
  <si>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</si>
  <si>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</si>
  <si>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</si>
  <si>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</si>
  <si>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</si>
  <si>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</si>
  <si>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</si>
  <si>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</si>
  <si>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</si>
  <si>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</si>
  <si>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</si>
  <si>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</si>
  <si>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</si>
  <si>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</si>
  <si>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</si>
  <si>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</si>
  <si>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</si>
  <si>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</si>
  <si>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</si>
  <si>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</si>
  <si>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</si>
  <si>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</si>
  <si>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</si>
  <si>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</si>
  <si>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</si>
  <si>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</si>
  <si>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</si>
  <si>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</si>
  <si>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</si>
  <si>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</si>
  <si>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</si>
  <si>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吴薇</t>
  </si>
  <si>
    <t>抵押</t>
  </si>
  <si>
    <t>房地产抵押价值</t>
  </si>
  <si>
    <t>北京市</t>
  </si>
  <si>
    <t>企业</t>
  </si>
  <si>
    <t>商业项目</t>
  </si>
  <si>
    <t>无</t>
  </si>
  <si>
    <t>否</t>
  </si>
  <si>
    <t>现房</t>
  </si>
  <si>
    <t>通路</t>
  </si>
  <si>
    <t>通电</t>
  </si>
  <si>
    <t>通讯</t>
  </si>
  <si>
    <t>通上水</t>
  </si>
  <si>
    <t>通下水</t>
  </si>
  <si>
    <t>平整</t>
  </si>
  <si>
    <t>是</t>
  </si>
  <si>
    <t>地上</t>
  </si>
  <si>
    <t>独立商业</t>
  </si>
  <si>
    <t>建成年代</t>
    <phoneticPr fontId="4" type="noConversion"/>
  </si>
  <si>
    <t>直线折旧</t>
    <phoneticPr fontId="4" type="noConversion"/>
  </si>
  <si>
    <t>成新度</t>
  </si>
  <si>
    <t>豪华房</t>
    <phoneticPr fontId="4" type="noConversion"/>
  </si>
  <si>
    <t>按房产原值计税</t>
  </si>
  <si>
    <t>钢混</t>
  </si>
  <si>
    <t>非生产用房</t>
  </si>
  <si>
    <t>利息：取LPR加浮动点数</t>
  </si>
  <si>
    <t>估价对象容积率</t>
  </si>
  <si>
    <t>不临65条商业街</t>
  </si>
  <si>
    <t>与级别开发程度不一致</t>
  </si>
  <si>
    <t>较好</t>
  </si>
  <si>
    <t>一般</t>
  </si>
  <si>
    <t>好</t>
  </si>
  <si>
    <t>未包含在土地购买价格中</t>
  </si>
  <si>
    <t>已包含在土地取得成本中</t>
  </si>
  <si>
    <t>按比例</t>
  </si>
  <si>
    <t>北京银行</t>
    <phoneticPr fontId="7" type="noConversion"/>
  </si>
  <si>
    <t>北京海纳川酒店管理有限公司</t>
    <phoneticPr fontId="7" type="noConversion"/>
  </si>
  <si>
    <t>朝阳区育慧西里10号楼3层全部</t>
    <phoneticPr fontId="7" type="noConversion"/>
  </si>
  <si>
    <t>燃气</t>
  </si>
  <si>
    <r>
      <t>3</t>
    </r>
    <r>
      <rPr>
        <sz val="10"/>
        <color indexed="8"/>
        <rFont val="宋体"/>
        <family val="3"/>
        <charset val="134"/>
      </rPr>
      <t>层</t>
    </r>
    <phoneticPr fontId="4" type="noConversion"/>
  </si>
  <si>
    <r>
      <t>3</t>
    </r>
    <r>
      <rPr>
        <sz val="10"/>
        <color indexed="8"/>
        <rFont val="宋体"/>
        <family val="3"/>
        <charset val="134"/>
      </rPr>
      <t>层全部</t>
    </r>
    <phoneticPr fontId="4" type="noConversion"/>
  </si>
  <si>
    <t>商业（酒店客房）</t>
  </si>
  <si>
    <t>商业（酒店客房）</t>
    <phoneticPr fontId="8" type="noConversion"/>
  </si>
  <si>
    <t>观察</t>
    <phoneticPr fontId="4" type="noConversion"/>
  </si>
  <si>
    <t>综合</t>
    <phoneticPr fontId="4" type="noConversion"/>
  </si>
  <si>
    <t>楼层修正</t>
  </si>
  <si>
    <t>押一</t>
  </si>
  <si>
    <t>收益法 (元)</t>
  </si>
  <si>
    <r>
      <t>1</t>
    </r>
    <r>
      <rPr>
        <sz val="10"/>
        <color indexed="8"/>
        <rFont val="宋体"/>
        <family val="3"/>
        <charset val="134"/>
      </rPr>
      <t>层</t>
    </r>
    <phoneticPr fontId="4" type="noConversion"/>
  </si>
  <si>
    <t>租金</t>
    <phoneticPr fontId="4" type="noConversion"/>
  </si>
  <si>
    <t>系数</t>
    <phoneticPr fontId="4" type="noConversion"/>
  </si>
  <si>
    <t>总价</t>
  </si>
  <si>
    <t>项目局部</t>
  </si>
  <si>
    <t>郑燚</t>
  </si>
  <si>
    <t>单套模式</t>
  </si>
  <si>
    <t>租金</t>
  </si>
  <si>
    <t>较好</t>
    <phoneticPr fontId="41" type="noConversion"/>
  </si>
  <si>
    <t>较好</t>
    <phoneticPr fontId="25" type="noConversion"/>
  </si>
  <si>
    <t>较好</t>
    <phoneticPr fontId="41" type="noConversion"/>
  </si>
  <si>
    <t>七通</t>
  </si>
  <si>
    <t>七通</t>
    <phoneticPr fontId="25" type="noConversion"/>
  </si>
  <si>
    <t>酒店</t>
  </si>
  <si>
    <t>一手店</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</si>
  <si>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</si>
  <si>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</si>
  <si>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</si>
  <si>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</si>
  <si>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</si>
  <si>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</si>
  <si>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</si>
  <si>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</si>
  <si>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</si>
  <si>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</si>
  <si>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</si>
  <si>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</si>
  <si>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</si>
  <si>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</si>
  <si>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</si>
  <si>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</si>
  <si>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</si>
  <si>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</si>
  <si>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</si>
  <si>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</si>
  <si>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</si>
  <si>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t>
  </si>
  <si>
    <t>付款方式</t>
  </si>
  <si>
    <t>押金（元）</t>
  </si>
  <si>
    <t>起始租金（元/平方米·天）</t>
  </si>
  <si>
    <t>增值税</t>
  </si>
  <si>
    <t>物业费（元/平方米·月）</t>
  </si>
  <si>
    <t>能源费（元/平方米·天）</t>
  </si>
  <si>
    <t>维修费</t>
  </si>
  <si>
    <t>租约期限</t>
  </si>
  <si>
    <t>免租期</t>
  </si>
  <si>
    <t>涨幅</t>
  </si>
  <si>
    <t>其他特殊，如定制装修改造等</t>
  </si>
  <si>
    <t>来源</t>
  </si>
  <si>
    <t>合同租金是否与市场水平相符</t>
  </si>
  <si>
    <t>意向租金（中行特殊）</t>
  </si>
  <si>
    <t>备注</t>
  </si>
  <si>
    <t>录入人</t>
  </si>
  <si>
    <t>录入时间</t>
  </si>
  <si>
    <t>核对人</t>
  </si>
  <si>
    <t>核对时间</t>
  </si>
  <si>
    <t>产证地址</t>
  </si>
  <si>
    <t>现状地址</t>
  </si>
  <si>
    <t>证载用途</t>
  </si>
  <si>
    <t>现状用途/利用方向</t>
  </si>
  <si>
    <t>主楼宇</t>
  </si>
  <si>
    <t>裙楼</t>
  </si>
  <si>
    <t>商业类型</t>
  </si>
  <si>
    <t>办公类型</t>
  </si>
  <si>
    <t>总楼层-地上</t>
  </si>
  <si>
    <t>总楼层-地下</t>
  </si>
  <si>
    <t>所在楼层（具体楼层）</t>
  </si>
  <si>
    <t>所在楼层（区间位置）</t>
  </si>
  <si>
    <t>出入口位置（商业）</t>
  </si>
  <si>
    <t>面宽（米）</t>
  </si>
  <si>
    <t>进深（米）</t>
  </si>
  <si>
    <t>景观</t>
  </si>
  <si>
    <t>其他</t>
  </si>
  <si>
    <t>高度（米）</t>
  </si>
  <si>
    <t>隔层</t>
  </si>
  <si>
    <t>证载</t>
  </si>
  <si>
    <t>调查</t>
  </si>
  <si>
    <t>改造加固时间</t>
  </si>
  <si>
    <t>改造加固内容</t>
  </si>
  <si>
    <t>实际交易价格</t>
  </si>
  <si>
    <t>开票价格</t>
  </si>
  <si>
    <t>公司名称</t>
  </si>
  <si>
    <t>商户</t>
  </si>
  <si>
    <t>商业——经营类型</t>
  </si>
  <si>
    <t>办公——租户行业</t>
  </si>
  <si>
    <t>合同约定</t>
  </si>
  <si>
    <t>计租面积（㎡）</t>
  </si>
  <si>
    <t>套内面积（㎡）</t>
  </si>
  <si>
    <t>建筑面积（㎡）</t>
  </si>
  <si>
    <t>得房率-公式</t>
  </si>
  <si>
    <t>得房率-介绍</t>
  </si>
  <si>
    <t>租金（市调租金）</t>
  </si>
  <si>
    <t>净租金（不含税、物业及能源）</t>
  </si>
  <si>
    <t>计租起始日期</t>
  </si>
  <si>
    <t>结束日期</t>
  </si>
  <si>
    <t>租期（租赁期限）</t>
  </si>
  <si>
    <t>涨幅方式</t>
  </si>
  <si>
    <t>计算平均涨幅</t>
  </si>
  <si>
    <t>形式</t>
  </si>
  <si>
    <t>签订时间（市调日期）</t>
  </si>
  <si>
    <t>是否正常</t>
  </si>
  <si>
    <t>具体情况</t>
  </si>
  <si>
    <t>租金（元/平方米·天）</t>
  </si>
  <si>
    <t>意向成交时间</t>
  </si>
  <si>
    <t>育慧西里</t>
  </si>
  <si>
    <t>朝阳区育慧西里10号楼3层全部</t>
  </si>
  <si>
    <t>朝阳区小营路3号3层全部</t>
  </si>
  <si>
    <t>朝阳区</t>
  </si>
  <si>
    <t>亚运村小营街道</t>
  </si>
  <si>
    <t>4-5环</t>
  </si>
  <si>
    <t>市调案例</t>
  </si>
  <si>
    <t>低层</t>
  </si>
  <si>
    <t>住宅配套（独立楼宇）</t>
  </si>
  <si>
    <t>负1</t>
  </si>
  <si>
    <t>高区</t>
  </si>
  <si>
    <t>对内</t>
  </si>
  <si>
    <t>/</t>
  </si>
  <si>
    <t>北京东胜海酒店管理有限公司</t>
  </si>
  <si>
    <t>希岸酒店</t>
  </si>
  <si>
    <t>快捷酒店</t>
  </si>
  <si>
    <t>半年付</t>
  </si>
  <si>
    <t>12年5个半月</t>
  </si>
  <si>
    <t>5.5月</t>
  </si>
  <si>
    <t>3年5%</t>
  </si>
  <si>
    <t>合同</t>
  </si>
  <si>
    <t>正常</t>
  </si>
  <si>
    <t>朝阳区育慧西里10号楼1层部分</t>
  </si>
  <si>
    <t>朝阳区小营路3号1层部分</t>
  </si>
  <si>
    <t>低区</t>
  </si>
  <si>
    <t>对外</t>
  </si>
  <si>
    <t>汪雨、段兴波</t>
  </si>
  <si>
    <t>黑森林碳烤羊腿</t>
  </si>
  <si>
    <t>餐饮（非明火）</t>
  </si>
  <si>
    <t>5年3个半月</t>
  </si>
  <si>
    <t>3.5月</t>
  </si>
  <si>
    <t>2年5%</t>
  </si>
  <si>
    <t>戴广生</t>
  </si>
  <si>
    <t>零售百货</t>
  </si>
  <si>
    <t>3年2个月</t>
  </si>
  <si>
    <t>2月</t>
  </si>
  <si>
    <t xml:space="preserve"> </t>
  </si>
  <si>
    <t>梁肖</t>
  </si>
  <si>
    <t>牛羊肉店</t>
  </si>
  <si>
    <t>2年</t>
  </si>
  <si>
    <t>案例</t>
    <phoneticPr fontId="135" type="noConversion"/>
  </si>
  <si>
    <t>育慧西里</t>
    <phoneticPr fontId="135" type="noConversion"/>
  </si>
  <si>
    <t>租金</t>
    <phoneticPr fontId="135" type="noConversion"/>
  </si>
  <si>
    <t>关庄路6号</t>
    <phoneticPr fontId="135" type="noConversion"/>
  </si>
  <si>
    <t>亚运村小营</t>
    <phoneticPr fontId="4" type="noConversion"/>
  </si>
  <si>
    <t>商业</t>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</si>
  <si>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</si>
  <si>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</si>
  <si>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</si>
  <si>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</si>
  <si>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</si>
  <si>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</si>
  <si>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</si>
  <si>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</si>
  <si>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</si>
  <si>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</si>
  <si>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</si>
  <si>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</si>
  <si>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</si>
  <si>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</si>
  <si>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</si>
  <si>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</si>
  <si>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独立商业</t>
    <phoneticPr fontId="31" type="noConversion"/>
  </si>
  <si>
    <t xml:space="preserve"> </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</si>
  <si>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</si>
  <si>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</si>
  <si>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</si>
  <si>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</si>
  <si>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</si>
  <si>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</si>
  <si>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可做餐饮</t>
  </si>
  <si>
    <t>可做餐饮</t>
    <phoneticPr fontId="31" type="noConversion"/>
  </si>
  <si>
    <t>不可做餐饮</t>
  </si>
  <si>
    <t>不可做餐饮</t>
    <phoneticPr fontId="31" type="noConversion"/>
  </si>
  <si>
    <t>写字楼底商</t>
  </si>
  <si>
    <t>写字楼底商</t>
    <phoneticPr fontId="31" type="noConversion"/>
  </si>
  <si>
    <t>住宅底商</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</si>
  <si>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</si>
  <si>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</si>
  <si>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</si>
  <si>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</si>
  <si>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</si>
  <si>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面宽</t>
    <phoneticPr fontId="135" type="noConversion"/>
  </si>
  <si>
    <t>进深</t>
    <phoneticPr fontId="135" type="noConversion"/>
  </si>
  <si>
    <t>临路</t>
    <phoneticPr fontId="135" type="noConversion"/>
  </si>
  <si>
    <t>人流量</t>
    <phoneticPr fontId="135" type="noConversion"/>
  </si>
  <si>
    <t>层高</t>
    <phoneticPr fontId="135" type="noConversion"/>
  </si>
  <si>
    <t>夹层</t>
    <phoneticPr fontId="135" type="noConversion"/>
  </si>
  <si>
    <t>类型</t>
    <phoneticPr fontId="135" type="noConversion"/>
  </si>
  <si>
    <t>燃气？</t>
    <phoneticPr fontId="135" type="noConversion"/>
  </si>
  <si>
    <t>写字楼底商？</t>
    <phoneticPr fontId="135" type="noConversion"/>
  </si>
  <si>
    <t>保利香槟花园</t>
  </si>
  <si>
    <t>保利香槟花园</t>
    <phoneticPr fontId="135" type="noConversion"/>
  </si>
  <si>
    <t>独立商业</t>
    <phoneticPr fontId="135" type="noConversion"/>
  </si>
  <si>
    <t>1层</t>
  </si>
  <si>
    <t>面积</t>
    <phoneticPr fontId="135" type="noConversion"/>
  </si>
  <si>
    <t>六通</t>
  </si>
  <si>
    <t>加权平均</t>
  </si>
  <si>
    <t>朝阳区小营路6号1层部分</t>
  </si>
  <si>
    <t>高层</t>
  </si>
  <si>
    <t>餐饮（明火）</t>
  </si>
  <si>
    <t>年付</t>
  </si>
  <si>
    <t>5年</t>
  </si>
  <si>
    <t>市调（电话核实）</t>
  </si>
  <si>
    <t>高于市场</t>
  </si>
  <si>
    <t>关庄商务中心</t>
  </si>
  <si>
    <t>朝阳区关庄路6号1层部分</t>
  </si>
  <si>
    <t>写字楼配套（底商/裙楼）</t>
  </si>
  <si>
    <t>售价</t>
  </si>
  <si>
    <t xml:space="preserve"> </t>
    <phoneticPr fontId="135" type="noConversion"/>
  </si>
  <si>
    <t>报价</t>
  </si>
  <si>
    <t>报价</t>
    <phoneticPr fontId="135" type="noConversion"/>
  </si>
  <si>
    <t>需扣减承租人权益</t>
  </si>
  <si>
    <t xml:space="preserve"> </t>
    <phoneticPr fontId="9" type="noConversion"/>
  </si>
  <si>
    <t xml:space="preserve"> </t>
    <phoneticPr fontId="9" type="noConversion"/>
  </si>
  <si>
    <t>租约结束</t>
    <phoneticPr fontId="4" type="noConversion"/>
  </si>
  <si>
    <t>项目名称</t>
    <phoneticPr fontId="135" type="noConversion"/>
  </si>
  <si>
    <t>凯旋城</t>
    <phoneticPr fontId="135" type="noConversion"/>
  </si>
  <si>
    <t>世奥国际中心</t>
    <phoneticPr fontId="135" type="noConversion"/>
  </si>
  <si>
    <t>远大中心</t>
    <phoneticPr fontId="135" type="noConversion"/>
  </si>
  <si>
    <t>总价</t>
    <phoneticPr fontId="135" type="noConversion"/>
  </si>
  <si>
    <t>面积</t>
    <phoneticPr fontId="135" type="noConversion"/>
  </si>
  <si>
    <t>单价</t>
    <phoneticPr fontId="135" type="noConversion"/>
  </si>
  <si>
    <t>办公</t>
    <phoneticPr fontId="135" type="noConversion"/>
  </si>
  <si>
    <t>比较法-商业 (售价)</t>
  </si>
  <si>
    <t>比较法-商业 (售价)</t>
    <phoneticPr fontId="17" type="noConversion"/>
  </si>
  <si>
    <t>低层建筑</t>
    <phoneticPr fontId="31" type="noConversion"/>
  </si>
  <si>
    <t>高层建筑</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</si>
</sst>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cellStyleXfs>
  <cellXfs count="38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0" fontId="78" fillId="6" borderId="0" xfId="0" applyFont="1" applyFill="1" applyAlignment="1" applyProtection="1">
      <alignment vertical="center"/>
      <protection locked="0"/>
    </xf>
    <xf numFmtId="9" fontId="48" fillId="6" borderId="0" xfId="17" applyFont="1" applyFill="1" applyAlignment="1" applyProtection="1">
      <alignment vertical="center"/>
      <protection locked="0"/>
    </xf>
    <xf numFmtId="0" fontId="20" fillId="0" borderId="5" xfId="4" applyFont="1" applyFill="1" applyBorder="1" applyAlignment="1" applyProtection="1">
      <alignment vertical="center"/>
      <protection locked="0"/>
    </xf>
    <xf numFmtId="0" fontId="78" fillId="7"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96" fillId="0" borderId="0" xfId="0" applyFont="1">
      <alignment vertical="center"/>
    </xf>
    <xf numFmtId="0" fontId="96" fillId="15" borderId="0" xfId="0" applyFont="1" applyFill="1">
      <alignment vertical="center"/>
    </xf>
    <xf numFmtId="14" fontId="0" fillId="0" borderId="0" xfId="0" applyNumberFormat="1">
      <alignment vertical="center"/>
    </xf>
    <xf numFmtId="0" fontId="0" fillId="15" borderId="0" xfId="0" applyFill="1">
      <alignment vertical="center"/>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96" fillId="0" borderId="0" xfId="10">
      <alignment vertical="center"/>
    </xf>
    <xf numFmtId="0" fontId="129" fillId="0" borderId="2" xfId="0" applyNumberFormat="1" applyFont="1" applyFill="1" applyBorder="1" applyAlignment="1" applyProtection="1">
      <alignment horizontal="center" vertical="center" wrapText="1"/>
      <protection locked="0"/>
    </xf>
    <xf numFmtId="10" fontId="53" fillId="18" borderId="24" xfId="0" applyNumberFormat="1" applyFont="1" applyFill="1" applyBorder="1" applyAlignment="1" applyProtection="1">
      <alignment horizontal="center" vertical="center"/>
      <protection locked="0"/>
    </xf>
    <xf numFmtId="182" fontId="53" fillId="18" borderId="24" xfId="0" applyNumberFormat="1" applyFont="1" applyFill="1" applyBorder="1" applyAlignment="1" applyProtection="1">
      <alignment horizontal="center" vertical="center"/>
      <protection locked="0"/>
    </xf>
    <xf numFmtId="181" fontId="53" fillId="18" borderId="79" xfId="0" applyNumberFormat="1" applyFont="1" applyFill="1" applyBorder="1" applyAlignment="1" applyProtection="1">
      <alignment horizontal="center" vertical="center"/>
      <protection locked="0"/>
    </xf>
    <xf numFmtId="181" fontId="0" fillId="0" borderId="0" xfId="0" applyNumberForma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1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15" borderId="6" xfId="0"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142875</xdr:rowOff>
    </xdr:from>
    <xdr:to>
      <xdr:col>9</xdr:col>
      <xdr:colOff>37324</xdr:colOff>
      <xdr:row>37</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8675"/>
          <a:ext cx="6209524" cy="5619048"/>
        </a:xfrm>
        <a:prstGeom prst="rect">
          <a:avLst/>
        </a:prstGeom>
      </xdr:spPr>
    </xdr:pic>
    <xdr:clientData/>
  </xdr:twoCellAnchor>
  <xdr:twoCellAnchor editAs="oneCell">
    <xdr:from>
      <xdr:col>9</xdr:col>
      <xdr:colOff>0</xdr:colOff>
      <xdr:row>5</xdr:row>
      <xdr:rowOff>0</xdr:rowOff>
    </xdr:from>
    <xdr:to>
      <xdr:col>17</xdr:col>
      <xdr:colOff>246934</xdr:colOff>
      <xdr:row>37</xdr:row>
      <xdr:rowOff>18362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857250"/>
          <a:ext cx="5733334" cy="5504762"/>
        </a:xfrm>
        <a:prstGeom prst="rect">
          <a:avLst/>
        </a:prstGeom>
      </xdr:spPr>
    </xdr:pic>
    <xdr:clientData/>
  </xdr:twoCellAnchor>
  <xdr:twoCellAnchor editAs="oneCell">
    <xdr:from>
      <xdr:col>17</xdr:col>
      <xdr:colOff>266700</xdr:colOff>
      <xdr:row>4</xdr:row>
      <xdr:rowOff>152400</xdr:rowOff>
    </xdr:from>
    <xdr:to>
      <xdr:col>25</xdr:col>
      <xdr:colOff>551729</xdr:colOff>
      <xdr:row>37</xdr:row>
      <xdr:rowOff>151693</xdr:rowOff>
    </xdr:to>
    <xdr:pic>
      <xdr:nvPicPr>
        <xdr:cNvPr id="4" name="图片 3"/>
        <xdr:cNvPicPr>
          <a:picLocks noChangeAspect="1"/>
        </xdr:cNvPicPr>
      </xdr:nvPicPr>
      <xdr:blipFill>
        <a:blip xmlns:r="http://schemas.openxmlformats.org/officeDocument/2006/relationships" r:embed="rId3"/>
        <a:stretch>
          <a:fillRect/>
        </a:stretch>
      </xdr:blipFill>
      <xdr:spPr>
        <a:xfrm>
          <a:off x="11925300" y="838200"/>
          <a:ext cx="5771429" cy="5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7</xdr:col>
      <xdr:colOff>93861</xdr:colOff>
      <xdr:row>15</xdr:row>
      <xdr:rowOff>137207</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123825"/>
          <a:ext cx="4865886" cy="2585132"/>
        </a:xfrm>
        <a:prstGeom prst="rect">
          <a:avLst/>
        </a:prstGeom>
      </xdr:spPr>
    </xdr:pic>
    <xdr:clientData/>
  </xdr:twoCellAnchor>
  <xdr:twoCellAnchor editAs="oneCell">
    <xdr:from>
      <xdr:col>0</xdr:col>
      <xdr:colOff>19050</xdr:colOff>
      <xdr:row>16</xdr:row>
      <xdr:rowOff>66675</xdr:rowOff>
    </xdr:from>
    <xdr:to>
      <xdr:col>8</xdr:col>
      <xdr:colOff>285361</xdr:colOff>
      <xdr:row>40</xdr:row>
      <xdr:rowOff>161175</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2809875"/>
          <a:ext cx="5752711" cy="4209300"/>
        </a:xfrm>
        <a:prstGeom prst="rect">
          <a:avLst/>
        </a:prstGeom>
      </xdr:spPr>
    </xdr:pic>
    <xdr:clientData/>
  </xdr:twoCellAnchor>
  <xdr:twoCellAnchor editAs="oneCell">
    <xdr:from>
      <xdr:col>8</xdr:col>
      <xdr:colOff>361950</xdr:colOff>
      <xdr:row>0</xdr:row>
      <xdr:rowOff>85725</xdr:rowOff>
    </xdr:from>
    <xdr:to>
      <xdr:col>15</xdr:col>
      <xdr:colOff>523022</xdr:colOff>
      <xdr:row>21</xdr:row>
      <xdr:rowOff>125218</xdr:rowOff>
    </xdr:to>
    <xdr:pic>
      <xdr:nvPicPr>
        <xdr:cNvPr id="4" name="图片 3"/>
        <xdr:cNvPicPr>
          <a:picLocks noChangeAspect="1"/>
        </xdr:cNvPicPr>
      </xdr:nvPicPr>
      <xdr:blipFill>
        <a:blip xmlns:r="http://schemas.openxmlformats.org/officeDocument/2006/relationships" r:embed="rId3"/>
        <a:stretch>
          <a:fillRect/>
        </a:stretch>
      </xdr:blipFill>
      <xdr:spPr>
        <a:xfrm>
          <a:off x="5848350" y="85725"/>
          <a:ext cx="4961672" cy="3639943"/>
        </a:xfrm>
        <a:prstGeom prst="rect">
          <a:avLst/>
        </a:prstGeom>
      </xdr:spPr>
    </xdr:pic>
    <xdr:clientData/>
  </xdr:twoCellAnchor>
  <xdr:twoCellAnchor editAs="oneCell">
    <xdr:from>
      <xdr:col>8</xdr:col>
      <xdr:colOff>304800</xdr:colOff>
      <xdr:row>22</xdr:row>
      <xdr:rowOff>89283</xdr:rowOff>
    </xdr:from>
    <xdr:to>
      <xdr:col>19</xdr:col>
      <xdr:colOff>351065</xdr:colOff>
      <xdr:row>52</xdr:row>
      <xdr:rowOff>78872</xdr:rowOff>
    </xdr:to>
    <xdr:pic>
      <xdr:nvPicPr>
        <xdr:cNvPr id="5" name="图片 4"/>
        <xdr:cNvPicPr>
          <a:picLocks noChangeAspect="1"/>
        </xdr:cNvPicPr>
      </xdr:nvPicPr>
      <xdr:blipFill>
        <a:blip xmlns:r="http://schemas.openxmlformats.org/officeDocument/2006/relationships" r:embed="rId4"/>
        <a:stretch>
          <a:fillRect/>
        </a:stretch>
      </xdr:blipFill>
      <xdr:spPr>
        <a:xfrm>
          <a:off x="5791200" y="3861183"/>
          <a:ext cx="7590065" cy="5133089"/>
        </a:xfrm>
        <a:prstGeom prst="rect">
          <a:avLst/>
        </a:prstGeom>
      </xdr:spPr>
    </xdr:pic>
    <xdr:clientData/>
  </xdr:twoCellAnchor>
  <xdr:twoCellAnchor editAs="oneCell">
    <xdr:from>
      <xdr:col>0</xdr:col>
      <xdr:colOff>0</xdr:colOff>
      <xdr:row>42</xdr:row>
      <xdr:rowOff>0</xdr:rowOff>
    </xdr:from>
    <xdr:to>
      <xdr:col>5</xdr:col>
      <xdr:colOff>523381</xdr:colOff>
      <xdr:row>59</xdr:row>
      <xdr:rowOff>28207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3952381" cy="2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75</xdr:row>
      <xdr:rowOff>114300</xdr:rowOff>
    </xdr:from>
    <xdr:to>
      <xdr:col>48</xdr:col>
      <xdr:colOff>340127</xdr:colOff>
      <xdr:row>95</xdr:row>
      <xdr:rowOff>123825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2801600"/>
          <a:ext cx="7007627" cy="3438525"/>
        </a:xfrm>
        <a:prstGeom prst="rect">
          <a:avLst/>
        </a:prstGeom>
      </xdr:spPr>
    </xdr:pic>
    <xdr:clientData/>
  </xdr:twoCellAnchor>
  <xdr:twoCellAnchor editAs="oneCell">
    <xdr:from>
      <xdr:col>0</xdr:col>
      <xdr:colOff>0</xdr:colOff>
      <xdr:row>95</xdr:row>
      <xdr:rowOff>47625</xdr:rowOff>
    </xdr:from>
    <xdr:to>
      <xdr:col>36</xdr:col>
      <xdr:colOff>399595</xdr:colOff>
      <xdr:row>110</xdr:row>
      <xdr:rowOff>37780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6163925"/>
          <a:ext cx="3638095" cy="2561905"/>
        </a:xfrm>
        <a:prstGeom prst="rect">
          <a:avLst/>
        </a:prstGeom>
      </xdr:spPr>
    </xdr:pic>
    <xdr:clientData/>
  </xdr:twoCellAnchor>
  <xdr:twoCellAnchor editAs="oneCell">
    <xdr:from>
      <xdr:col>0</xdr:col>
      <xdr:colOff>0</xdr:colOff>
      <xdr:row>21</xdr:row>
      <xdr:rowOff>142875</xdr:rowOff>
    </xdr:from>
    <xdr:to>
      <xdr:col>58</xdr:col>
      <xdr:colOff>351252</xdr:colOff>
      <xdr:row>47</xdr:row>
      <xdr:rowOff>94699</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571875"/>
          <a:ext cx="9390477" cy="4409524"/>
        </a:xfrm>
        <a:prstGeom prst="rect">
          <a:avLst/>
        </a:prstGeom>
      </xdr:spPr>
    </xdr:pic>
    <xdr:clientData/>
  </xdr:twoCellAnchor>
  <xdr:twoCellAnchor editAs="oneCell">
    <xdr:from>
      <xdr:col>0</xdr:col>
      <xdr:colOff>0</xdr:colOff>
      <xdr:row>48</xdr:row>
      <xdr:rowOff>0</xdr:rowOff>
    </xdr:from>
    <xdr:to>
      <xdr:col>37</xdr:col>
      <xdr:colOff>504272</xdr:colOff>
      <xdr:row>71</xdr:row>
      <xdr:rowOff>56650</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8058150"/>
          <a:ext cx="4428572" cy="4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180096</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38096" cy="5209524"/>
        </a:xfrm>
        <a:prstGeom prst="rect">
          <a:avLst/>
        </a:prstGeom>
      </xdr:spPr>
    </xdr:pic>
    <xdr:clientData/>
  </xdr:twoCellAnchor>
  <xdr:twoCellAnchor editAs="oneCell">
    <xdr:from>
      <xdr:col>0</xdr:col>
      <xdr:colOff>0</xdr:colOff>
      <xdr:row>31</xdr:row>
      <xdr:rowOff>0</xdr:rowOff>
    </xdr:from>
    <xdr:to>
      <xdr:col>11</xdr:col>
      <xdr:colOff>456201</xdr:colOff>
      <xdr:row>64</xdr:row>
      <xdr:rowOff>27865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000001" cy="5685715"/>
        </a:xfrm>
        <a:prstGeom prst="rect">
          <a:avLst/>
        </a:prstGeom>
      </xdr:spPr>
    </xdr:pic>
    <xdr:clientData/>
  </xdr:twoCellAnchor>
  <xdr:twoCellAnchor editAs="oneCell">
    <xdr:from>
      <xdr:col>10</xdr:col>
      <xdr:colOff>0</xdr:colOff>
      <xdr:row>1</xdr:row>
      <xdr:rowOff>0</xdr:rowOff>
    </xdr:from>
    <xdr:to>
      <xdr:col>22</xdr:col>
      <xdr:colOff>551353</xdr:colOff>
      <xdr:row>15</xdr:row>
      <xdr:rowOff>47319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171450"/>
          <a:ext cx="8780953" cy="2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32946;&#24935;&#35199;&#37324;&#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4067;&#20848;&#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位置及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2018.8-12"/>
      <sheetName val="2019.1-7收入"/>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北京市朝阳区育慧西里10号楼3层全部房地产抵押价值预评估</v>
      </c>
    </row>
    <row r="3" spans="1:2" s="1203" customFormat="1">
      <c r="A3" s="1201" t="s">
        <v>523</v>
      </c>
      <c r="B3" s="1202" t="str">
        <f>'预评函-封皮'!B40</f>
        <v>北京银行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受贵公司委托，我公司对北京市朝阳区育慧西里10号楼3层全部房地产抵押价值进行了预评估。</v>
      </c>
    </row>
    <row r="7" spans="1:2" s="1203" customFormat="1">
      <c r="A7" s="1201" t="s">
        <v>566</v>
      </c>
      <c r="B7" s="1202" t="str">
        <f>'预评函-1'!A7</f>
        <v>估价对象为北京市朝阳区育慧西里10号楼3层全部房地产，为北京海纳川酒店管理有限公司所有。根据《国有土地使用证》[]，估价对象（分摊）出让国有建设用地使用权面积为0平方米，建筑面积为611.12平方米。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2023年3月13日（评估专业人员实地查勘之日）</v>
      </c>
    </row>
    <row r="13" spans="1:2" s="1203" customFormat="1">
      <c r="A13" s="1201" t="s">
        <v>529</v>
      </c>
      <c r="B13" s="1202"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1874</v>
      </c>
    </row>
    <row r="21" spans="1:2" s="1203" customFormat="1">
      <c r="A21" s="1201" t="s">
        <v>537</v>
      </c>
      <c r="B21" s="1202">
        <f ca="1">'预评函-2'!D7</f>
        <v>30665</v>
      </c>
    </row>
    <row r="22" spans="1:2" s="1203" customFormat="1">
      <c r="A22" s="1201" t="s">
        <v>538</v>
      </c>
      <c r="B22" s="1202" t="str">
        <f ca="1">'预评函-2'!D6</f>
        <v>壹仟捌佰柒拾肆万元整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1874</v>
      </c>
    </row>
    <row r="31" spans="1:2" s="1203" customFormat="1">
      <c r="A31" s="1201" t="s">
        <v>576</v>
      </c>
      <c r="B31" s="1202">
        <f ca="1">'预评函-2'!D15</f>
        <v>30665</v>
      </c>
    </row>
    <row r="32" spans="1:2" s="1203" customFormat="1">
      <c r="A32" s="1201" t="s">
        <v>543</v>
      </c>
      <c r="B32" s="1202" t="str">
        <f ca="1">'预评函-2'!D14</f>
        <v>壹仟捌佰柒拾肆万元整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北京市朝阳区育慧西里10号楼3层全部房地产</v>
      </c>
    </row>
    <row r="42" spans="1:2" s="1203" customFormat="1">
      <c r="A42" s="1201" t="s">
        <v>590</v>
      </c>
      <c r="B42" s="1202" t="str">
        <f>'预评函-3'!B2</f>
        <v>建筑面积</v>
      </c>
    </row>
    <row r="43" spans="1:2" s="1203" customFormat="1">
      <c r="A43" s="1201" t="s">
        <v>591</v>
      </c>
      <c r="B43" s="1202">
        <f>'预评函-3'!B4</f>
        <v>611.12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2574</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2575</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3648</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酒店管理有限公司拟使用北京市朝阳区育慧西里10号楼3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2497</v>
      </c>
      <c r="B1" s="3008"/>
      <c r="C1" s="3008"/>
      <c r="D1" s="3008"/>
      <c r="E1" s="3008"/>
      <c r="F1" s="3009"/>
      <c r="I1" s="3431" t="s">
        <v>2590</v>
      </c>
      <c r="J1" s="3220"/>
      <c r="K1" s="3220"/>
      <c r="L1" s="3220"/>
      <c r="M1" s="3220"/>
      <c r="N1" s="3432"/>
      <c r="O1" s="3432"/>
      <c r="P1" s="3432"/>
      <c r="Q1" s="3432"/>
      <c r="R1" s="3432"/>
    </row>
    <row r="2" spans="1:18">
      <c r="A2" s="3011"/>
      <c r="B2" s="3012"/>
      <c r="C2" s="3012"/>
      <c r="D2" s="3012"/>
      <c r="E2" s="3012"/>
      <c r="F2" s="3013"/>
      <c r="I2" s="3521" t="s">
        <v>2577</v>
      </c>
      <c r="J2" s="3521"/>
      <c r="K2" s="3521"/>
      <c r="L2" s="3521"/>
      <c r="M2" s="3521"/>
      <c r="N2" s="3521"/>
      <c r="O2" s="3521"/>
      <c r="P2" s="3521"/>
      <c r="Q2" s="3521"/>
      <c r="R2" s="3521"/>
    </row>
    <row r="3" spans="1:18">
      <c r="A3" s="3014" t="s">
        <v>2498</v>
      </c>
      <c r="B3" s="3015">
        <f>项目基本情况!D3</f>
        <v>44998</v>
      </c>
      <c r="C3" s="3017"/>
      <c r="D3" s="3017"/>
      <c r="E3" s="3017"/>
      <c r="F3" s="3013"/>
      <c r="I3" s="3433"/>
      <c r="J3" s="3433" t="s">
        <v>2581</v>
      </c>
      <c r="K3" s="3433" t="s">
        <v>2582</v>
      </c>
      <c r="L3" s="3433" t="s">
        <v>2583</v>
      </c>
      <c r="M3" s="3433" t="s">
        <v>2584</v>
      </c>
      <c r="N3" s="3434" t="s">
        <v>2585</v>
      </c>
      <c r="O3" s="3434" t="s">
        <v>2586</v>
      </c>
      <c r="P3" s="3434" t="s">
        <v>2587</v>
      </c>
      <c r="Q3" s="3434" t="s">
        <v>2588</v>
      </c>
      <c r="R3" s="3434" t="s">
        <v>2589</v>
      </c>
    </row>
    <row r="4" spans="1:18">
      <c r="A4" s="3014" t="s">
        <v>2499</v>
      </c>
      <c r="B4" s="3017" t="s">
        <v>2500</v>
      </c>
      <c r="C4" s="3017" t="s">
        <v>2501</v>
      </c>
      <c r="D4" s="3017" t="s">
        <v>2502</v>
      </c>
      <c r="E4" s="3017" t="s">
        <v>2503</v>
      </c>
      <c r="F4" s="3013"/>
      <c r="I4" s="3433" t="s">
        <v>2578</v>
      </c>
      <c r="J4" s="3433">
        <v>80</v>
      </c>
      <c r="K4" s="3433">
        <v>70</v>
      </c>
      <c r="L4" s="3433">
        <v>20</v>
      </c>
      <c r="M4" s="3433">
        <v>30</v>
      </c>
      <c r="N4" s="3017">
        <v>45</v>
      </c>
      <c r="O4" s="3017">
        <v>60</v>
      </c>
      <c r="P4" s="3017">
        <v>50</v>
      </c>
      <c r="Q4" s="3017">
        <v>20</v>
      </c>
      <c r="R4" s="3017">
        <v>375</v>
      </c>
    </row>
    <row r="5" spans="1:18">
      <c r="A5" s="3018">
        <v>40</v>
      </c>
      <c r="B5" s="3015">
        <v>46375</v>
      </c>
      <c r="C5" s="3017">
        <f>ROUNDDOWN(MIN((B5-B3)/365,A5),2)</f>
        <v>3.77</v>
      </c>
      <c r="D5" s="3019">
        <f>IF(ISERROR(ROUND(POWER(1+E5,A5-C5)*(POWER(1+E5,C5)-1)/(POWER(1+E5,A5)-1),3)),0,ROUND(POWER(1+E5,A5-C5)*(POWER(1+E5,C5)-1)/(POWER(1+E5,A5)-1),4))</f>
        <v>0.1736</v>
      </c>
      <c r="E5" s="3020">
        <v>0.04</v>
      </c>
      <c r="F5" s="3013"/>
      <c r="I5" s="3433" t="s">
        <v>2579</v>
      </c>
      <c r="J5" s="3433">
        <v>70</v>
      </c>
      <c r="K5" s="3433">
        <v>60</v>
      </c>
      <c r="L5" s="3433">
        <v>15</v>
      </c>
      <c r="M5" s="3433">
        <v>25</v>
      </c>
      <c r="N5" s="3017">
        <v>40</v>
      </c>
      <c r="O5" s="3017">
        <v>50</v>
      </c>
      <c r="P5" s="3017">
        <v>40</v>
      </c>
      <c r="Q5" s="3017">
        <v>15</v>
      </c>
      <c r="R5" s="3017">
        <v>315</v>
      </c>
    </row>
    <row r="6" spans="1:18">
      <c r="A6" s="3018">
        <v>50</v>
      </c>
      <c r="B6" s="3015">
        <v>50028</v>
      </c>
      <c r="C6" s="3017">
        <f>ROUNDDOWN(MIN((B6-B3)/365,A6),2)</f>
        <v>13.78</v>
      </c>
      <c r="D6" s="3019">
        <f>IF(ISERROR(ROUND(POWER(1+E6,A6-C6)*(POWER(1+E6,C6)-1)/(POWER(1+E6,A6)-1),3)),0,ROUND(POWER(1+E6,A6-C6)*(POWER(1+E6,C6)-1)/(POWER(1+E6,A6)-1),4))</f>
        <v>0.4859</v>
      </c>
      <c r="E6" s="3020">
        <v>0.04</v>
      </c>
      <c r="F6" s="3013"/>
      <c r="I6" s="3433" t="s">
        <v>2580</v>
      </c>
      <c r="J6" s="3433">
        <v>60</v>
      </c>
      <c r="K6" s="3433">
        <v>50</v>
      </c>
      <c r="L6" s="3433">
        <v>10</v>
      </c>
      <c r="M6" s="3433">
        <v>20</v>
      </c>
      <c r="N6" s="3017">
        <v>35</v>
      </c>
      <c r="O6" s="3017">
        <v>40</v>
      </c>
      <c r="P6" s="3017">
        <v>30</v>
      </c>
      <c r="Q6" s="3017">
        <v>10</v>
      </c>
      <c r="R6" s="3017">
        <v>255</v>
      </c>
    </row>
    <row r="7" spans="1:18">
      <c r="A7" s="3018">
        <v>70</v>
      </c>
      <c r="B7" s="3015">
        <v>57333</v>
      </c>
      <c r="C7" s="3017">
        <f>ROUNDDOWN(MIN((B7-B3)/365,A7),2)</f>
        <v>33.79</v>
      </c>
      <c r="D7" s="3019">
        <f>IF(ISERROR(ROUND(POWER(1+E7,A7-C7)*(POWER(1+E7,C7)-1)/(POWER(1+E7,A7)-1),3)),0,ROUND(POWER(1+E7,A7-C7)*(POWER(1+E7,C7)-1)/(POWER(1+E7,A7)-1),4))</f>
        <v>0.78469999999999995</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4.25" thickBot="1">
      <c r="A18" s="3025" t="s">
        <v>2513</v>
      </c>
      <c r="B18" s="3026">
        <f>ROUND(B17*F11/F12,2)</f>
        <v>5541.87</v>
      </c>
      <c r="C18" s="3026">
        <f>ROUND(F11/F12,4)</f>
        <v>1.1521999999999999</v>
      </c>
      <c r="D18" s="3027"/>
      <c r="E18" s="3027"/>
      <c r="F18" s="3028"/>
    </row>
    <row r="19" spans="1:13" ht="14.25" thickBot="1"/>
    <row r="20" spans="1:13" s="3063" customFormat="1" ht="14.2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4.2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北京市朝阳区育慧西里10号楼3层全部房地产抵押价值预评估</v>
      </c>
      <c r="C1" s="3531"/>
      <c r="D1" s="3531"/>
      <c r="E1" s="3531"/>
      <c r="F1" s="3531"/>
      <c r="G1" s="3531"/>
      <c r="H1" s="3531"/>
      <c r="I1" s="3532"/>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北京市朝阳区育慧西里10号楼3层全部房地产抵押价值</v>
      </c>
      <c r="T1" s="1745"/>
      <c r="U1" s="1745"/>
      <c r="V1" s="1745"/>
      <c r="W1" s="1745"/>
      <c r="X1" s="1745"/>
      <c r="Y1" s="1745"/>
      <c r="Z1" s="1745"/>
      <c r="AA1" s="1745"/>
      <c r="AB1" s="1745"/>
    </row>
    <row r="2" spans="1:30">
      <c r="A2" s="2367" t="s">
        <v>2169</v>
      </c>
      <c r="B2" s="2371"/>
      <c r="C2" s="2372"/>
      <c r="D2" s="2665"/>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北京市朝阳区育慧西里10号楼3层全部房地产</v>
      </c>
      <c r="T2" s="1745"/>
      <c r="U2" s="1745"/>
      <c r="V2" s="1745"/>
      <c r="W2" s="1745"/>
      <c r="X2" s="1745"/>
      <c r="Y2" s="1745"/>
      <c r="Z2" s="1745"/>
      <c r="AA2" s="1745"/>
      <c r="AB2" s="1745"/>
    </row>
    <row r="3" spans="1:30">
      <c r="A3" s="302" t="s">
        <v>2170</v>
      </c>
      <c r="B3" s="2373">
        <v>44998</v>
      </c>
      <c r="C3" s="2374" t="s">
        <v>2171</v>
      </c>
      <c r="D3" s="2373">
        <f>B3</f>
        <v>44998</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3371</v>
      </c>
      <c r="C4" s="2376">
        <f ca="1">SUMIF(注册房地产估价师,B4,估价师及机构信息!B3:B24)</f>
        <v>1419970001</v>
      </c>
      <c r="D4" s="2375" t="s">
        <v>3424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4" t="s">
        <v>3406</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8"/>
      <c r="F6" s="2660"/>
      <c r="G6" s="2660"/>
      <c r="H6" s="2660"/>
      <c r="I6" s="2660"/>
      <c r="J6" s="2437"/>
      <c r="K6" s="2611" t="str">
        <f>IF(COUNTIF(B6,"*上海银行*"),"上海银行","")</f>
        <v/>
      </c>
      <c r="L6" s="2609"/>
      <c r="M6" s="2609"/>
      <c r="N6" s="2437"/>
      <c r="O6" s="2448"/>
      <c r="P6" s="2437"/>
      <c r="Q6" s="2437"/>
      <c r="R6" s="2437"/>
    </row>
    <row r="7" spans="1:30" ht="36">
      <c r="A7" s="2382" t="s">
        <v>2175</v>
      </c>
      <c r="B7" s="3445" t="s">
        <v>3407</v>
      </c>
      <c r="C7" s="2384"/>
      <c r="D7" s="2385"/>
      <c r="E7" s="2658"/>
      <c r="F7" s="2660"/>
      <c r="G7" s="2660"/>
      <c r="H7" s="2660"/>
      <c r="I7" s="2660"/>
      <c r="J7" s="2437"/>
      <c r="K7" s="2612"/>
      <c r="L7" s="2609"/>
      <c r="M7" s="2609"/>
      <c r="N7" s="2437"/>
      <c r="O7" s="2448"/>
      <c r="P7" s="2437"/>
      <c r="Q7" s="2437"/>
      <c r="R7" s="2437"/>
    </row>
    <row r="8" spans="1:30">
      <c r="A8" s="2386" t="s">
        <v>2176</v>
      </c>
      <c r="B8" s="2387" t="s">
        <v>3372</v>
      </c>
      <c r="C8" s="2388"/>
      <c r="D8" s="3533" t="s">
        <v>2177</v>
      </c>
      <c r="E8" s="2389" t="s">
        <v>3373</v>
      </c>
      <c r="F8" s="2390"/>
      <c r="G8" s="2659"/>
      <c r="H8" s="2659"/>
      <c r="I8" s="2659"/>
      <c r="J8" s="2437"/>
      <c r="K8" s="2610"/>
      <c r="L8" s="2609"/>
      <c r="M8" s="2609"/>
      <c r="N8" s="2437"/>
      <c r="O8" s="2448"/>
      <c r="P8" s="2437"/>
      <c r="Q8" s="2437"/>
      <c r="R8" s="2437"/>
    </row>
    <row r="9" spans="1:30" ht="13.5" thickBot="1">
      <c r="A9" s="2391" t="s">
        <v>2178</v>
      </c>
      <c r="B9" s="2392" t="s">
        <v>3373</v>
      </c>
      <c r="C9" s="2393"/>
      <c r="D9" s="3534"/>
      <c r="E9" s="2392" t="s">
        <v>43</v>
      </c>
      <c r="F9" s="2394"/>
      <c r="G9" s="2661"/>
      <c r="H9" s="2661"/>
      <c r="I9" s="2661"/>
      <c r="J9" s="2437"/>
      <c r="K9" s="2612"/>
      <c r="L9" s="2609"/>
      <c r="M9" s="2609"/>
      <c r="N9" s="2437"/>
      <c r="O9" s="2448"/>
      <c r="P9" s="2437"/>
      <c r="Q9" s="2437"/>
      <c r="R9" s="2437"/>
    </row>
    <row r="10" spans="1:30" ht="13.5" thickTop="1">
      <c r="A10" s="2395" t="s">
        <v>2179</v>
      </c>
      <c r="B10" s="2396" t="s">
        <v>3374</v>
      </c>
      <c r="C10" s="2397"/>
      <c r="D10" s="2381"/>
      <c r="E10" s="2398" t="s">
        <v>2180</v>
      </c>
      <c r="F10" s="3450" t="s">
        <v>3408</v>
      </c>
      <c r="G10" s="2662"/>
      <c r="H10" s="2663"/>
      <c r="I10" s="2664"/>
      <c r="J10" s="2437"/>
      <c r="K10" s="2612"/>
      <c r="L10" s="2609"/>
      <c r="M10" s="2609"/>
      <c r="N10" s="2437"/>
      <c r="O10" s="2448"/>
      <c r="P10" s="2437"/>
      <c r="Q10" s="2437"/>
      <c r="R10" s="2437"/>
    </row>
    <row r="11" spans="1:30" ht="38.25">
      <c r="A11" s="2399" t="s">
        <v>2181</v>
      </c>
      <c r="B11" s="2400" t="s">
        <v>3375</v>
      </c>
      <c r="C11" s="2401" t="str">
        <f>B7</f>
        <v>北京海纳川酒店管理有限公司</v>
      </c>
      <c r="D11" s="2402"/>
      <c r="E11" s="2370"/>
      <c r="F11" s="2370"/>
      <c r="G11" s="2370"/>
      <c r="H11" s="2370"/>
      <c r="I11" s="2370"/>
      <c r="J11" s="3055"/>
      <c r="K11" s="3054"/>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3" t="s">
        <v>2573</v>
      </c>
      <c r="J12" s="3056"/>
      <c r="K12" s="2609"/>
      <c r="L12" s="2609"/>
      <c r="M12" s="2437"/>
      <c r="N12" s="2448"/>
      <c r="O12" s="2437"/>
      <c r="P12" s="2437"/>
      <c r="Q12" s="2437"/>
      <c r="AD12" s="1745"/>
    </row>
    <row r="13" spans="1:30">
      <c r="A13" s="3417" t="s">
        <v>3333</v>
      </c>
      <c r="B13" s="2405" t="s">
        <v>2190</v>
      </c>
      <c r="C13" s="856"/>
      <c r="D13" s="856">
        <v>52318</v>
      </c>
      <c r="E13" s="856"/>
      <c r="F13" s="856"/>
      <c r="G13" s="856"/>
      <c r="H13" s="856"/>
      <c r="I13" s="856">
        <f>租约!BD3</f>
        <v>48861</v>
      </c>
      <c r="J13" s="3056"/>
      <c r="K13" s="2609"/>
      <c r="L13" s="2609"/>
      <c r="M13" s="2437"/>
      <c r="N13" s="2448"/>
      <c r="O13" s="2437"/>
      <c r="P13" s="2437"/>
      <c r="Q13" s="2437"/>
      <c r="AD13" s="1745"/>
    </row>
    <row r="14" spans="1:30">
      <c r="A14" s="1081"/>
      <c r="B14" s="2405" t="s">
        <v>2191</v>
      </c>
      <c r="C14" s="2406"/>
      <c r="D14" s="2406">
        <v>40</v>
      </c>
      <c r="E14" s="2406"/>
      <c r="F14" s="2406"/>
      <c r="G14" s="2406"/>
      <c r="H14" s="2406"/>
      <c r="I14" s="2406"/>
      <c r="J14" s="3057"/>
      <c r="K14" s="2609"/>
      <c r="L14" s="2609"/>
      <c r="M14" s="2437"/>
      <c r="N14" s="2448"/>
      <c r="O14" s="2437"/>
      <c r="P14" s="2437"/>
      <c r="Q14" s="2437"/>
      <c r="AD14" s="1745"/>
    </row>
    <row r="15" spans="1:30">
      <c r="A15" s="320"/>
      <c r="B15" s="2407" t="s">
        <v>2192</v>
      </c>
      <c r="C15" s="2408" t="str">
        <f>IF(A13="出让",IF(C13="","",ROUNDDOWN(MIN((C13-$D$3)/365,C14),2)),C14)</f>
        <v/>
      </c>
      <c r="D15" s="2408">
        <f>IF(A13="出让",IF(D13="","",ROUNDDOWN(MIN((D13-$D$3)/365,D14),2)),D14)</f>
        <v>20.05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f>IF(A13="出让",IF(I13="","",ROUNDDOWN(MIN((I13-$D$3)/365,I14),2)),I14)</f>
        <v>10.58</v>
      </c>
      <c r="J15" s="3058"/>
      <c r="K15" s="2449"/>
      <c r="L15" s="2449"/>
      <c r="M15" s="2505"/>
      <c r="N15" s="2449"/>
      <c r="O15" s="2505"/>
      <c r="P15" s="2437"/>
      <c r="Q15" s="2437"/>
      <c r="AD15" s="1745"/>
    </row>
    <row r="16" spans="1:30">
      <c r="A16" s="2398" t="s">
        <v>2193</v>
      </c>
      <c r="B16" s="3540"/>
      <c r="C16" s="3541"/>
      <c r="D16" s="3542"/>
      <c r="E16" s="2411" t="s">
        <v>2194</v>
      </c>
      <c r="F16" s="3543"/>
      <c r="G16" s="3544"/>
      <c r="H16" s="3544"/>
      <c r="I16" s="3545"/>
      <c r="J16" s="2437"/>
      <c r="K16" s="2613"/>
      <c r="L16" s="2449"/>
      <c r="M16" s="2449"/>
      <c r="N16" s="2505"/>
      <c r="O16" s="2449"/>
      <c r="P16" s="2505"/>
      <c r="Q16" s="2437"/>
      <c r="R16" s="2437"/>
    </row>
    <row r="17" spans="1:28">
      <c r="A17" s="313" t="s">
        <v>2195</v>
      </c>
      <c r="B17" s="302" t="s">
        <v>2196</v>
      </c>
      <c r="C17" s="8">
        <f>'数据-汇总表'!E3</f>
        <v>611.12</v>
      </c>
      <c r="D17" s="2322" t="s">
        <v>2197</v>
      </c>
      <c r="E17" s="3546" t="s">
        <v>2198</v>
      </c>
      <c r="F17" s="3547"/>
      <c r="G17" s="3547"/>
      <c r="H17" s="3547"/>
      <c r="I17" s="3548"/>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49" t="s">
        <v>2202</v>
      </c>
      <c r="F18" s="3550"/>
      <c r="G18" s="3550"/>
      <c r="H18" s="3550"/>
      <c r="I18" s="3551"/>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36" t="s">
        <v>2206</v>
      </c>
      <c r="C20" s="3537"/>
      <c r="D20" s="3538" t="s">
        <v>2207</v>
      </c>
      <c r="E20" s="3539"/>
      <c r="F20" s="2643" t="s">
        <v>1056</v>
      </c>
      <c r="G20" s="2660"/>
      <c r="H20" s="2660"/>
      <c r="I20" s="2660"/>
      <c r="J20" s="2437"/>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23" t="s">
        <v>2214</v>
      </c>
      <c r="B27" s="320" t="s">
        <v>2215</v>
      </c>
      <c r="C27" s="2414" t="s">
        <v>3376</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23"/>
      <c r="B28" s="302" t="s">
        <v>2216</v>
      </c>
      <c r="C28" s="2416" t="s">
        <v>3377</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23"/>
      <c r="B29" s="302" t="s">
        <v>2217</v>
      </c>
      <c r="C29" s="2418" t="s">
        <v>3378</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24"/>
      <c r="B30" s="302" t="s">
        <v>2218</v>
      </c>
      <c r="C30" s="3525"/>
      <c r="D30" s="3526"/>
      <c r="E30" s="2660"/>
      <c r="F30" s="2660"/>
      <c r="G30" s="2660"/>
      <c r="H30" s="2660"/>
      <c r="I30" s="2660"/>
      <c r="J30" s="2437"/>
      <c r="K30" s="2612"/>
      <c r="L30" s="2609"/>
      <c r="M30" s="2609"/>
      <c r="N30" s="2437"/>
      <c r="O30" s="2448"/>
      <c r="P30" s="2437"/>
      <c r="Q30" s="2437"/>
      <c r="R30" s="2437"/>
      <c r="S30" s="2437"/>
      <c r="T30" s="2437"/>
      <c r="U30" s="2437"/>
      <c r="V30" s="2437"/>
    </row>
    <row r="31" spans="1:28">
      <c r="A31" s="3527" t="s">
        <v>2219</v>
      </c>
      <c r="B31" s="2420" t="s">
        <v>3379</v>
      </c>
      <c r="C31" s="2323"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28"/>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28"/>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t="s">
        <v>3380</v>
      </c>
      <c r="C34" s="2026" t="s">
        <v>3381</v>
      </c>
      <c r="D34" s="2026" t="s">
        <v>3382</v>
      </c>
      <c r="E34" s="2026" t="s">
        <v>3383</v>
      </c>
      <c r="F34" s="2026" t="s">
        <v>3384</v>
      </c>
      <c r="G34" s="2026" t="s">
        <v>3409</v>
      </c>
      <c r="H34" s="2026" t="s">
        <v>3385</v>
      </c>
      <c r="I34" s="2660"/>
      <c r="J34" s="2437"/>
      <c r="K34" s="2425">
        <f>COUNTIF(B34:H34,"——")</f>
        <v>0</v>
      </c>
      <c r="L34" s="323" t="s">
        <v>2221</v>
      </c>
      <c r="M34" s="323" t="s">
        <v>2222</v>
      </c>
      <c r="N34" s="323" t="s">
        <v>2223</v>
      </c>
      <c r="O34" s="323" t="s">
        <v>2224</v>
      </c>
      <c r="P34" s="323" t="s">
        <v>2225</v>
      </c>
      <c r="Q34" s="323" t="s">
        <v>2226</v>
      </c>
      <c r="R34" s="323" t="s">
        <v>2227</v>
      </c>
      <c r="S34" s="3522" t="s">
        <v>2228</v>
      </c>
      <c r="T34" s="2426" t="str">
        <f>NUMBERSTRING(7-K34,1)&amp;"通"</f>
        <v>七通</v>
      </c>
      <c r="U34" s="2437"/>
      <c r="V34" s="2437"/>
    </row>
    <row r="35" spans="1:30">
      <c r="A35" s="2427"/>
      <c r="B35" s="3529" t="s">
        <v>2229</v>
      </c>
      <c r="C35" s="3529"/>
      <c r="D35" s="3529"/>
      <c r="E35" s="3529"/>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22"/>
      <c r="T35" s="329" t="str">
        <f>IF(T34="一通",L35,IF(T34="二通",M35,IF(T34="三通",N35,IF(T34="四通",O35,IF(T34="五通",P35,IF(T34="六通",Q35,R35))))))</f>
        <v>通路、通电、通讯、通上水、通下水、燃气、平整</v>
      </c>
      <c r="U35" s="2437"/>
      <c r="V35" s="2437"/>
    </row>
    <row r="36" spans="1:30">
      <c r="A36" s="2428"/>
      <c r="B36" s="664" t="s">
        <v>2185</v>
      </c>
      <c r="C36" s="664" t="s">
        <v>2186</v>
      </c>
      <c r="D36" s="664" t="s">
        <v>2184</v>
      </c>
      <c r="E36" s="664" t="s">
        <v>2189</v>
      </c>
      <c r="F36" s="3059" t="s">
        <v>2576</v>
      </c>
      <c r="G36" s="2660"/>
      <c r="H36" s="2660"/>
      <c r="I36" s="2660"/>
      <c r="J36" s="2437"/>
      <c r="K36" s="2612"/>
      <c r="L36" s="2609"/>
      <c r="M36" s="2609"/>
      <c r="N36" s="2437"/>
      <c r="O36" s="2448"/>
      <c r="P36" s="2437"/>
      <c r="Q36" s="2437"/>
      <c r="R36" s="2437"/>
      <c r="S36" s="2437"/>
      <c r="T36" s="2437"/>
      <c r="U36" s="2437"/>
      <c r="V36" s="2437"/>
    </row>
    <row r="37" spans="1:30">
      <c r="A37" s="2626" t="s">
        <v>2230</v>
      </c>
      <c r="B37" s="2429" t="s">
        <v>110</v>
      </c>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t="s">
        <v>2946</v>
      </c>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611.12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611.12</v>
      </c>
      <c r="H5" s="13">
        <f t="shared" ref="H5:AT5" si="0">SUM(H13:H656)</f>
        <v>611.12</v>
      </c>
      <c r="I5" s="13">
        <f t="shared" si="0"/>
        <v>611.12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611.12</v>
      </c>
      <c r="BA5" s="15">
        <f t="shared" si="1"/>
        <v>611.12</v>
      </c>
      <c r="BB5" s="15">
        <f t="shared" si="1"/>
        <v>611.12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c r="C13" s="1051" t="s">
        <v>3411</v>
      </c>
      <c r="D13" s="1625" t="s">
        <v>3386</v>
      </c>
      <c r="E13" s="13">
        <f>IF($C$3="是",ROUND($A$3*G13/$B$3,2),ROUND($A$3*(G13-AT13)/$B$3,2))</f>
        <v>0</v>
      </c>
      <c r="F13" s="29"/>
      <c r="G13" s="30">
        <f>H13+AC13+AT13</f>
        <v>611.12</v>
      </c>
      <c r="H13" s="17">
        <f>SUMIF(I$12:AB$12,"总值",I13:AB13)</f>
        <v>611.12</v>
      </c>
      <c r="I13" s="36">
        <v>611.12</v>
      </c>
      <c r="J13" s="36"/>
      <c r="K13" s="36"/>
      <c r="L13" s="36"/>
      <c r="M13" s="36"/>
      <c r="N13" s="36"/>
      <c r="O13" s="3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3层全部</v>
      </c>
      <c r="AY13" s="1349">
        <f>ROUND($AY$6*AZ13/$AZ$5,2)</f>
        <v>0</v>
      </c>
      <c r="AZ13" s="13">
        <f>BA13+BL13</f>
        <v>611.12</v>
      </c>
      <c r="BA13" s="13">
        <f>SUM(BB13:BK13)</f>
        <v>611.12</v>
      </c>
      <c r="BB13" s="13">
        <f>IF($D13="是",I13-J13,0)</f>
        <v>611.12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c r="A14" s="1051"/>
      <c r="B14" s="1051"/>
      <c r="C14" s="1570"/>
      <c r="D14" s="1625"/>
      <c r="E14" s="13">
        <f>IF($C$3="是",ROUND($A$3*G14/$B$3,2),ROUND($A$3*(G14-AT14)/$B$3,2))</f>
        <v>0</v>
      </c>
      <c r="F14" s="29"/>
      <c r="G14" s="30">
        <f>H14+AC14+AT14</f>
        <v>0</v>
      </c>
      <c r="H14" s="17">
        <f>SUMIF(I$12:AB$12,"总值",I14:AB14)</f>
        <v>0</v>
      </c>
      <c r="I14" s="36"/>
      <c r="J14" s="36"/>
      <c r="K14" s="36"/>
      <c r="L14" s="36"/>
      <c r="M14" s="36"/>
      <c r="N14" s="36"/>
      <c r="O14" s="3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1051"/>
      <c r="C15" s="1570"/>
      <c r="D15" s="1625"/>
      <c r="E15" s="13">
        <f>IF($C$3="是",ROUND($A$3*G15/$B$3,2),ROUND($A$3*(G15-AT15)/$B$3,2))</f>
        <v>0</v>
      </c>
      <c r="F15" s="29"/>
      <c r="G15" s="30">
        <f>H15+AC15+AT15</f>
        <v>0</v>
      </c>
      <c r="H15" s="17">
        <f>SUMIF(I$12:AB$12,"总值",I15:AB15)</f>
        <v>0</v>
      </c>
      <c r="I15" s="36"/>
      <c r="J15" s="36"/>
      <c r="K15" s="36"/>
      <c r="L15" s="36"/>
      <c r="M15" s="36"/>
      <c r="N15" s="36"/>
      <c r="O15" s="3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1051"/>
      <c r="C16" s="1570"/>
      <c r="D16" s="1625"/>
      <c r="E16" s="13">
        <f>IF($C$3="是",ROUND($A$3*G16/$B$3,2),ROUND($A$3*(G16-AT16)/$B$3,2))</f>
        <v>0</v>
      </c>
      <c r="F16" s="29"/>
      <c r="G16" s="30">
        <f>H16+AC16+AT16</f>
        <v>0</v>
      </c>
      <c r="H16" s="17">
        <f>SUMIF(I$12:AB$12,"总值",I16:AB16)</f>
        <v>0</v>
      </c>
      <c r="I16" s="36"/>
      <c r="J16" s="36"/>
      <c r="K16" s="36"/>
      <c r="L16" s="36"/>
      <c r="M16" s="36"/>
      <c r="N16" s="36"/>
      <c r="O16" s="3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1051"/>
      <c r="C17" s="1570"/>
      <c r="D17" s="1625"/>
      <c r="E17" s="13">
        <f>IF($C$3="是",ROUND($A$3*G17/$B$3,2),ROUND($A$3*(G17-AT17)/$B$3,2))</f>
        <v>0</v>
      </c>
      <c r="F17" s="29"/>
      <c r="G17" s="30">
        <f>H17+AC17+AT17</f>
        <v>0</v>
      </c>
      <c r="H17" s="17">
        <f>SUMIF(I$12:AB$12,"总值",I17:AB17)</f>
        <v>0</v>
      </c>
      <c r="I17" s="36"/>
      <c r="J17" s="36"/>
      <c r="K17" s="36"/>
      <c r="L17" s="36"/>
      <c r="M17" s="36"/>
      <c r="N17" s="36"/>
      <c r="O17" s="3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40" sqref="G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5"/>
      <c r="G2" s="2646"/>
      <c r="H2" s="2647"/>
      <c r="I2" s="2325" t="s">
        <v>1132</v>
      </c>
      <c r="J2" s="2655"/>
      <c r="K2" s="2655"/>
      <c r="L2" s="2655"/>
      <c r="M2" s="2655"/>
      <c r="N2" s="2657"/>
      <c r="O2" s="2655"/>
      <c r="P2" s="2655"/>
    </row>
    <row r="3" spans="1:16" ht="15.75" thickBot="1">
      <c r="A3" s="3562" t="s">
        <v>1105</v>
      </c>
      <c r="B3" s="3562"/>
      <c r="C3" s="3562"/>
      <c r="D3" s="43">
        <f>'数据-基础表'!AY6</f>
        <v>0</v>
      </c>
      <c r="E3" s="43">
        <f>'数据-基础表'!AZ5</f>
        <v>611.12</v>
      </c>
      <c r="F3" s="2655"/>
      <c r="G3" s="1145"/>
      <c r="H3" s="1026" t="s">
        <v>1106</v>
      </c>
      <c r="I3" s="855" t="e">
        <f>ROUND('数据-基础表'!B3/'数据-基础表'!A3,2)</f>
        <v>#DIV/0!</v>
      </c>
      <c r="J3" s="2655"/>
      <c r="K3" s="2655"/>
      <c r="L3" s="2655"/>
      <c r="M3" s="2655"/>
      <c r="N3" s="2657"/>
      <c r="O3" s="2655"/>
      <c r="P3" s="2655"/>
    </row>
    <row r="4" spans="1:16" ht="15">
      <c r="A4" s="3563"/>
      <c r="B4" s="3564"/>
      <c r="C4" s="3565"/>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66" t="s">
        <v>1110</v>
      </c>
      <c r="C5" s="3566"/>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66" t="s">
        <v>1111</v>
      </c>
      <c r="C6" s="3566"/>
      <c r="D6" s="45">
        <f>ROUND($D$3*E6/$E$3,2)</f>
        <v>0</v>
      </c>
      <c r="E6" s="46">
        <f>E3-E5</f>
        <v>611.12</v>
      </c>
      <c r="F6" s="2655"/>
      <c r="G6" s="2649" t="s">
        <v>1112</v>
      </c>
      <c r="H6" s="1146" t="s">
        <v>1113</v>
      </c>
      <c r="I6" s="2650" t="e">
        <f>ROUND(F31/D31,2)</f>
        <v>#DIV/0!</v>
      </c>
      <c r="J6" s="2655"/>
      <c r="K6" s="2655"/>
      <c r="L6" s="2655"/>
      <c r="M6" s="2655"/>
      <c r="N6" s="2655"/>
      <c r="O6" s="2655"/>
      <c r="P6" s="2655"/>
    </row>
    <row r="7" spans="1:16" ht="15.75" thickBot="1">
      <c r="A7" s="3558"/>
      <c r="B7" s="3559"/>
      <c r="C7" s="3560"/>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611.12</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611.12</v>
      </c>
      <c r="F16" s="2655"/>
      <c r="G16" s="2656"/>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3413</v>
      </c>
      <c r="D19" s="45">
        <f>ROUND($D$3*E19/$E$3,2)</f>
        <v>0</v>
      </c>
      <c r="E19" s="53">
        <f t="shared" ref="E19:E26" si="1">SUM(F19:G19)</f>
        <v>611.12</v>
      </c>
      <c r="F19" s="2790">
        <f>'数据-基础表'!I5</f>
        <v>611.12</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611.12</v>
      </c>
    </row>
    <row r="20" spans="1:19">
      <c r="A20" s="1670"/>
      <c r="B20" s="47" t="s">
        <v>1153</v>
      </c>
      <c r="C20" s="3411"/>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611.12</v>
      </c>
      <c r="F27" s="1140">
        <f>IF(SUM(F19:F26)=E8,SUM(F19:F26),"地上面积有误")</f>
        <v>611.12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611.12</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611.12</v>
      </c>
      <c r="F31" s="677">
        <f>F27+F30</f>
        <v>611.12</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44998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商业（酒店客房）</v>
      </c>
      <c r="B6" s="1713" t="str">
        <f>IF(A6=0,"","经营性")</f>
        <v>经营性</v>
      </c>
      <c r="C6" s="1714" t="s">
        <v>673</v>
      </c>
      <c r="D6" s="858">
        <f>SUMIF(项目基本情况!C$12:I$12,C6,项目基本情况!C$14:I$14)</f>
        <v>40</v>
      </c>
      <c r="E6" s="857">
        <f>IF(B6="","",SUMIF(项目基本情况!C$12:I$12,C6,项目基本情况!C$13:I$13))</f>
        <v>52318</v>
      </c>
      <c r="F6" s="64">
        <f>SUMIF(项目基本情况!C$12:I$12,C6,项目基本情况!C$15:I$15)</f>
        <v>20.05</v>
      </c>
      <c r="G6" s="65">
        <f>IF(ISERROR(ROUND(POWER(1+H6,D6-F6)*(POWER(1+H6,F6)-1)/(POWER(1+H6,D6)-1),3)),0,ROUND(POWER(1+H6,D6-F6)*(POWER(1+H6,F6)-1)/(POWER(1+H6,D6)-1),3))</f>
        <v>0.72699999999999998</v>
      </c>
      <c r="H6" s="732">
        <v>0.05</v>
      </c>
      <c r="I6" s="732">
        <v>5.5E-2</v>
      </c>
      <c r="J6" s="66">
        <v>0.08</v>
      </c>
      <c r="K6" s="1030">
        <f>SUMIF('数据-汇总表'!C$19:C$33,A6,'数据-汇总表'!E$19:E$33)</f>
        <v>611.12</v>
      </c>
      <c r="L6" s="733">
        <v>4000</v>
      </c>
      <c r="M6" s="67">
        <f t="shared" ref="M6:M14" si="0">ROUND(K6*L6/10000,0)</f>
        <v>244</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f>租约!AW3</f>
        <v>4.7</v>
      </c>
      <c r="V6" s="70">
        <v>1.2E-2</v>
      </c>
      <c r="W6" s="70">
        <v>0</v>
      </c>
      <c r="X6" s="1040"/>
      <c r="Y6" s="71">
        <f>N6</f>
        <v>0.7</v>
      </c>
      <c r="Z6" s="72">
        <f>Z19</f>
        <v>5.5</v>
      </c>
      <c r="AA6" s="66">
        <v>0.03</v>
      </c>
      <c r="AB6" s="66">
        <v>0.05</v>
      </c>
      <c r="AC6" s="1040"/>
      <c r="AD6" s="73">
        <v>0.6</v>
      </c>
      <c r="AE6" s="1041">
        <f ca="1">IF(AN6="",0,SUMIF(INDIRECT("'"&amp;AN6&amp;"'"&amp;"!E:E"),$AE$5,INDIRECT("'"&amp;AN6&amp;"'"&amp;"!F:F")))</f>
        <v>20.05</v>
      </c>
      <c r="AF6" s="1348">
        <f>项目基本情况!I15</f>
        <v>10.58</v>
      </c>
      <c r="AG6" s="138">
        <f ca="1">IF(AF6="",0,AE6-AF6)</f>
        <v>9.4700000000000006</v>
      </c>
      <c r="AH6" s="74"/>
      <c r="AI6" s="76">
        <v>365</v>
      </c>
      <c r="AJ6" s="77"/>
      <c r="AK6" s="78">
        <v>5.0000000000000001E-3</v>
      </c>
      <c r="AL6" s="79">
        <v>1E-3</v>
      </c>
      <c r="AM6" s="80">
        <v>5.0000000000000001E-3</v>
      </c>
      <c r="AN6" s="1715" t="s">
        <v>3418</v>
      </c>
      <c r="AO6" s="52">
        <f ca="1">SUMIF(INDIRECT("'"&amp;AN6&amp;"'"&amp;"!A:A"),"总价",INDIRECT("'"&amp;AN6&amp;"'"&amp;"!B:B"))</f>
        <v>1139.3752999999999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611.12</v>
      </c>
      <c r="L16" s="93">
        <f>ROUND(M16*10000/SUM(K6:K14),0)</f>
        <v>3993</v>
      </c>
      <c r="M16" s="93">
        <f>SUM(M6:M14)</f>
        <v>244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3446" t="s">
        <v>3389</v>
      </c>
      <c r="N17" s="1191">
        <v>1995</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46" t="s">
        <v>3390</v>
      </c>
      <c r="N18" s="3447">
        <f>ROUND(1-(1-0%)*(2023-N17)/60,2)</f>
        <v>0.53</v>
      </c>
      <c r="O18" s="2666"/>
      <c r="P18" s="2666"/>
      <c r="Q18" s="2666"/>
      <c r="R18" s="2666"/>
      <c r="S18" s="2666"/>
      <c r="T18" s="2666"/>
      <c r="U18" s="2666"/>
      <c r="V18" s="3455" t="s">
        <v>3420</v>
      </c>
      <c r="W18" s="3455" t="s">
        <v>3421</v>
      </c>
      <c r="X18" s="2666"/>
      <c r="Y18" s="2666"/>
      <c r="Z18" s="3455" t="s">
        <v>3638</v>
      </c>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2301</v>
      </c>
      <c r="D19" s="2671"/>
      <c r="E19" s="2668"/>
      <c r="F19" s="2668"/>
      <c r="G19" s="2668"/>
      <c r="H19" s="2668"/>
      <c r="I19" s="2668"/>
      <c r="J19" s="2668"/>
      <c r="K19" s="2667"/>
      <c r="L19" s="2667"/>
      <c r="M19" s="3455" t="s">
        <v>3414</v>
      </c>
      <c r="N19" s="3456">
        <v>0.8</v>
      </c>
      <c r="O19" s="2666"/>
      <c r="P19" s="2666"/>
      <c r="Q19" s="2666"/>
      <c r="R19" s="2666"/>
      <c r="S19" s="2666"/>
      <c r="T19" s="2666"/>
      <c r="U19" s="2666" t="s">
        <v>3419</v>
      </c>
      <c r="V19" s="2666">
        <v>10</v>
      </c>
      <c r="W19" s="2666">
        <v>1</v>
      </c>
      <c r="X19" s="2666"/>
      <c r="Y19" s="2666"/>
      <c r="Z19" s="2666">
        <f>ROUND(租约!BJ29,1)</f>
        <v>5.5</v>
      </c>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1.5</v>
      </c>
      <c r="C20" s="2795" t="s">
        <v>2299</v>
      </c>
      <c r="D20" s="2671"/>
      <c r="E20" s="2668"/>
      <c r="F20" s="2668"/>
      <c r="G20" s="2668"/>
      <c r="H20" s="2668"/>
      <c r="I20" s="2668"/>
      <c r="J20" s="2668"/>
      <c r="K20" s="2667"/>
      <c r="L20" s="2667"/>
      <c r="M20" s="3455" t="s">
        <v>3415</v>
      </c>
      <c r="N20" s="2666">
        <f>ROUND((N18+N19)/2,3)</f>
        <v>0.66500000000000004</v>
      </c>
      <c r="O20" s="2666"/>
      <c r="P20" s="2666"/>
      <c r="Q20" s="2666"/>
      <c r="R20" s="2666"/>
      <c r="S20" s="2666"/>
      <c r="T20" s="2666"/>
      <c r="U20" s="2666" t="s">
        <v>3410</v>
      </c>
      <c r="V20" s="2666">
        <f>V19*W20</f>
        <v>6</v>
      </c>
      <c r="W20" s="2666">
        <v>0.6</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1.5</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1.5</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2303</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12</v>
      </c>
      <c r="C29" s="2797" t="s">
        <v>2290</v>
      </c>
      <c r="D29" s="2674"/>
      <c r="E29" s="2657"/>
      <c r="F29" s="2657"/>
      <c r="G29" s="2668"/>
      <c r="H29" s="2668"/>
      <c r="I29" s="2668"/>
      <c r="J29" s="2668"/>
      <c r="K29" s="2667"/>
      <c r="L29" s="2667">
        <f ca="1">结果表!D20</f>
        <v>18644</v>
      </c>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7"/>
      <c r="F30" s="2657"/>
      <c r="G30" s="2668"/>
      <c r="H30" s="2668"/>
      <c r="I30" s="2668"/>
      <c r="J30" s="2668"/>
      <c r="K30" s="2667"/>
      <c r="L30" s="2667">
        <f ca="1">结果表!G20</f>
        <v>30667</v>
      </c>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8" t="s">
        <v>2293</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3396</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12</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110</v>
      </c>
      <c r="C53" s="2657"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67" t="s">
        <v>2282</v>
      </c>
      <c r="B1" s="3568"/>
      <c r="C1" s="3568"/>
      <c r="D1" s="3568"/>
      <c r="E1" s="3568"/>
      <c r="F1" s="3568"/>
      <c r="G1" s="356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64" t="s">
        <v>3427</v>
      </c>
      <c r="D3" s="2462"/>
      <c r="E3" s="2440" t="s">
        <v>2280</v>
      </c>
      <c r="F3" s="2463" t="s">
        <v>2253</v>
      </c>
      <c r="G3" s="2464" t="s">
        <v>2281</v>
      </c>
      <c r="H3" s="799"/>
      <c r="I3" s="799"/>
      <c r="J3" s="799"/>
      <c r="K3" s="799"/>
      <c r="L3" s="799"/>
      <c r="M3" s="799"/>
      <c r="N3" s="799"/>
      <c r="O3" s="799"/>
      <c r="P3" s="799"/>
      <c r="Q3" s="799"/>
      <c r="R3" s="799"/>
    </row>
    <row r="4" spans="1:29" ht="36">
      <c r="A4" s="2440"/>
      <c r="B4" s="323" t="s">
        <v>2254</v>
      </c>
      <c r="C4" s="3465" t="s">
        <v>3428</v>
      </c>
      <c r="D4" s="2462"/>
      <c r="E4" s="2465"/>
      <c r="F4" s="1373" t="s">
        <v>2255</v>
      </c>
      <c r="G4" s="2466" t="s">
        <v>2256</v>
      </c>
      <c r="H4" s="799"/>
      <c r="I4" s="799"/>
      <c r="J4" s="799"/>
      <c r="K4" s="799"/>
      <c r="L4" s="799"/>
      <c r="M4" s="799"/>
      <c r="N4" s="799"/>
      <c r="O4" s="799"/>
      <c r="P4" s="799"/>
      <c r="Q4" s="799"/>
      <c r="R4" s="799"/>
    </row>
    <row r="5" spans="1:29" ht="24">
      <c r="A5" s="2440"/>
      <c r="B5" s="323" t="s">
        <v>2257</v>
      </c>
      <c r="C5" s="3465" t="s">
        <v>3428</v>
      </c>
      <c r="D5" s="2462"/>
      <c r="E5" s="2465"/>
      <c r="F5" s="323" t="s">
        <v>2258</v>
      </c>
      <c r="G5" s="2466" t="s">
        <v>2259</v>
      </c>
      <c r="H5" s="799"/>
      <c r="I5" s="799"/>
      <c r="J5" s="799"/>
      <c r="K5" s="799"/>
      <c r="L5" s="799"/>
      <c r="M5" s="799"/>
      <c r="N5" s="799"/>
      <c r="O5" s="799"/>
      <c r="P5" s="799"/>
      <c r="Q5" s="799"/>
      <c r="R5" s="799"/>
    </row>
    <row r="6" spans="1:29">
      <c r="A6" s="2440"/>
      <c r="B6" s="323" t="s">
        <v>2260</v>
      </c>
      <c r="C6" s="3466" t="s">
        <v>3429</v>
      </c>
      <c r="D6" s="2462"/>
      <c r="E6" s="2465"/>
      <c r="F6" s="323" t="s">
        <v>2261</v>
      </c>
      <c r="G6" s="2466" t="s">
        <v>2262</v>
      </c>
      <c r="H6" s="799"/>
      <c r="I6" s="799"/>
      <c r="J6" s="799"/>
      <c r="K6" s="799"/>
      <c r="L6" s="799"/>
      <c r="M6" s="799"/>
      <c r="N6" s="799"/>
      <c r="O6" s="799"/>
      <c r="P6" s="799"/>
      <c r="Q6" s="799"/>
      <c r="R6" s="799"/>
    </row>
    <row r="7" spans="1:29" ht="24.75" thickBot="1">
      <c r="A7" s="2440"/>
      <c r="B7" s="323" t="s">
        <v>2258</v>
      </c>
      <c r="C7" s="3466" t="s">
        <v>3429</v>
      </c>
      <c r="D7" s="2467"/>
      <c r="E7" s="2468"/>
      <c r="F7" s="2469" t="s">
        <v>2263</v>
      </c>
      <c r="G7" s="2470" t="s">
        <v>2264</v>
      </c>
      <c r="H7" s="799"/>
      <c r="I7" s="799"/>
      <c r="J7" s="799"/>
      <c r="K7" s="799"/>
      <c r="L7" s="799"/>
      <c r="M7" s="799"/>
      <c r="N7" s="799"/>
      <c r="O7" s="799"/>
      <c r="P7" s="799"/>
      <c r="Q7" s="799"/>
      <c r="R7" s="799"/>
    </row>
    <row r="8" spans="1:29">
      <c r="A8" s="2440"/>
      <c r="B8" s="323" t="s">
        <v>2261</v>
      </c>
      <c r="C8" s="3466" t="s">
        <v>3431</v>
      </c>
      <c r="D8" s="2467"/>
      <c r="E8" s="2467"/>
      <c r="F8" s="2471"/>
      <c r="G8" s="2471"/>
      <c r="H8" s="799"/>
      <c r="I8" s="799"/>
      <c r="J8" s="799"/>
      <c r="K8" s="799"/>
      <c r="L8" s="799"/>
      <c r="M8" s="799"/>
      <c r="N8" s="799"/>
      <c r="O8" s="799"/>
      <c r="P8" s="799"/>
      <c r="Q8" s="799"/>
      <c r="R8" s="799"/>
    </row>
    <row r="9" spans="1:29">
      <c r="A9" s="2440"/>
      <c r="B9" s="323" t="s">
        <v>2265</v>
      </c>
      <c r="C9" s="3465" t="s">
        <v>3429</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611.12</v>
      </c>
      <c r="C1" s="2681"/>
      <c r="D1" s="2681"/>
      <c r="E1" s="2681"/>
      <c r="F1" s="2681"/>
      <c r="G1" s="2682"/>
      <c r="H1" s="2683"/>
      <c r="I1" s="2683"/>
      <c r="J1" s="2683"/>
      <c r="K1" s="2683"/>
    </row>
    <row r="2" spans="1:11" ht="16.5">
      <c r="A2" s="2508" t="s">
        <v>653</v>
      </c>
      <c r="B2" s="2508">
        <f>SUM(C14:C23)</f>
        <v>0</v>
      </c>
      <c r="C2" s="2681"/>
      <c r="D2" s="2681"/>
      <c r="E2" s="2681"/>
      <c r="F2" s="2681"/>
      <c r="G2" s="2682"/>
      <c r="H2" s="2683"/>
      <c r="I2" s="2683"/>
      <c r="J2" s="2683"/>
      <c r="K2" s="2683"/>
    </row>
    <row r="3" spans="1:11" ht="16.5">
      <c r="A3" s="2508" t="s">
        <v>662</v>
      </c>
      <c r="B3" s="2510">
        <f>项目基本情况!D3</f>
        <v>44998</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1874</v>
      </c>
      <c r="C5" s="2508">
        <f ca="1">IF(B5=D14,结果表!H102,ROUND(B5*10000/$B$1,0))</f>
        <v>30665</v>
      </c>
      <c r="D5" s="2508" t="e">
        <f ca="1">ROUND(B5*10000/$B$2,0)</f>
        <v>#DIV/0!</v>
      </c>
      <c r="E5" s="2681"/>
      <c r="F5" s="2682"/>
      <c r="G5" s="2682"/>
      <c r="H5" s="2683"/>
      <c r="I5" s="2683"/>
      <c r="J5" s="2683"/>
      <c r="K5" s="2683"/>
    </row>
    <row r="6" spans="1:11" ht="16.5">
      <c r="A6" s="2508" t="s">
        <v>656</v>
      </c>
      <c r="B6" s="2508">
        <f ca="1">SUM(G14:G23)</f>
        <v>1874</v>
      </c>
      <c r="C6" s="2508">
        <f ca="1">IF(B6=G14,结果表!H108,ROUND(B6*10000/$B$1,0))</f>
        <v>30665</v>
      </c>
      <c r="D6" s="2508" t="e">
        <f ca="1">ROUND(B6*10000/$B$2,0)</f>
        <v>#DIV/0!</v>
      </c>
      <c r="E6" s="2681"/>
      <c r="F6" s="2682"/>
      <c r="G6" s="2682"/>
      <c r="H6" s="2683"/>
      <c r="I6" s="2683"/>
      <c r="J6" s="2683"/>
      <c r="K6" s="2683"/>
    </row>
    <row r="7" spans="1:11" ht="16.5">
      <c r="A7" s="2508" t="s">
        <v>664</v>
      </c>
      <c r="B7" s="2508">
        <f>SUM(H14:H23)</f>
        <v>0</v>
      </c>
      <c r="C7" s="2508" t="str">
        <f>IF(B7=H14,结果表!H110,ROUND(B7*10000/$B$1,0))</f>
        <v>——</v>
      </c>
      <c r="D7" s="2508" t="e">
        <f>ROUND(B7*10000/$B$2,0)</f>
        <v>#DIV/0!</v>
      </c>
      <c r="E7" s="2681"/>
      <c r="F7" s="2682"/>
      <c r="G7" s="2682"/>
      <c r="H7" s="2683"/>
      <c r="I7" s="2683"/>
      <c r="J7" s="2683"/>
      <c r="K7" s="2683"/>
    </row>
    <row r="8" spans="1:11" ht="16.5">
      <c r="A8" s="2508" t="s">
        <v>587</v>
      </c>
      <c r="B8" s="2508">
        <f>SUM(I14:I23)</f>
        <v>0</v>
      </c>
      <c r="C8" s="2508" t="str">
        <f>IF(B8=I14,结果表!H112,ROUND(B8*10000/$B$1,0))</f>
        <v>——</v>
      </c>
      <c r="D8" s="2508" t="e">
        <f>ROUND(B8*10000/$B$2,0)</f>
        <v>#DIV/0!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3356</v>
      </c>
      <c r="D10" s="2508" t="s">
        <v>3357</v>
      </c>
      <c r="E10" s="3435"/>
      <c r="F10" s="3439" t="s">
        <v>3358</v>
      </c>
      <c r="G10" s="3436"/>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611.12</v>
      </c>
      <c r="C14" s="2514"/>
      <c r="D14" s="2514">
        <f ca="1">结果表!H118</f>
        <v>1874</v>
      </c>
      <c r="E14" s="2514">
        <f ca="1">ROUND(D14*10000/B14,0)</f>
        <v>30665</v>
      </c>
      <c r="F14" s="2514" t="e">
        <f ca="1">ROUND(D14*10000/C14,0)</f>
        <v>#DIV/0!</v>
      </c>
      <c r="G14" s="2514">
        <f ca="1">结果表!D122</f>
        <v>1874</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31"/>
      <c r="H15" s="1331"/>
      <c r="I15" s="2515"/>
      <c r="J15" s="2682"/>
      <c r="K15" s="2683"/>
    </row>
    <row r="16" spans="1:11" ht="16.5">
      <c r="A16" s="2513" t="s">
        <v>648</v>
      </c>
      <c r="B16" s="2515"/>
      <c r="C16" s="2515"/>
      <c r="D16" s="2515"/>
      <c r="E16" s="2514" t="e">
        <f t="shared" si="0"/>
        <v>#DIV/0!</v>
      </c>
      <c r="F16" s="2514" t="e">
        <f t="shared" si="1"/>
        <v>#DIV/0!</v>
      </c>
      <c r="G16" s="1331"/>
      <c r="H16" s="1331"/>
      <c r="I16" s="2515"/>
      <c r="J16" s="2683"/>
      <c r="K16" s="2683"/>
    </row>
    <row r="17" spans="1:11" ht="16.5">
      <c r="A17" s="2513" t="s">
        <v>647</v>
      </c>
      <c r="B17" s="2515"/>
      <c r="C17" s="2515"/>
      <c r="D17" s="2515"/>
      <c r="E17" s="2514" t="e">
        <f t="shared" si="0"/>
        <v>#DIV/0!</v>
      </c>
      <c r="F17" s="2514" t="e">
        <f t="shared" si="1"/>
        <v>#DIV/0!</v>
      </c>
      <c r="G17" s="1331"/>
      <c r="H17" s="1331"/>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90" zoomScaleNormal="100" zoomScaleSheetLayoutView="9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3412</v>
      </c>
      <c r="D1" s="1747"/>
      <c r="E1" s="1747"/>
      <c r="F1" s="1749" t="s">
        <v>1263</v>
      </c>
      <c r="G1" s="1561" t="s">
        <v>3379</v>
      </c>
      <c r="H1" s="1750" t="str">
        <f>IF(G1="现房","——","估价对象范围")</f>
        <v>——</v>
      </c>
      <c r="I1" s="1751" t="s">
        <v>3423</v>
      </c>
    </row>
    <row r="2" spans="1:12" ht="21.75" customHeight="1" thickBot="1">
      <c r="A2" s="3603" t="str">
        <f>项目基本情况!S2</f>
        <v>北京市朝阳区育慧西里10号楼3层全部房地产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t="s">
        <v>3647</v>
      </c>
      <c r="D4" s="1756" t="s">
        <v>3418</v>
      </c>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v>7</v>
      </c>
      <c r="D14" s="3606">
        <v>3</v>
      </c>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3" t="s">
        <v>2131</v>
      </c>
      <c r="F18" s="3594"/>
      <c r="G18" s="3594"/>
      <c r="H18" s="3594"/>
      <c r="I18" s="3594"/>
      <c r="K18" s="302" t="s">
        <v>1289</v>
      </c>
      <c r="L18" s="302">
        <f>IF(C1="",'数据-汇总表'!E3,SUMIF(项目类型,C1,'数据-汇总表'!E17:E26)+SUMIF(项目类型,C1,'数据-汇总表'!I17:I26))</f>
        <v>611.12</v>
      </c>
      <c r="M18" s="302">
        <f>IF(C1="",'数据-汇总表'!E3,SUMIF(项目类型,C1,'数据-汇总表'!E17:E26))</f>
        <v>611.12</v>
      </c>
    </row>
    <row r="19" spans="1:36" ht="15">
      <c r="A19" s="1761" t="s">
        <v>1290</v>
      </c>
      <c r="B19" s="1762" t="s">
        <v>1291</v>
      </c>
      <c r="C19" s="134">
        <f ca="1">SUMIF(INDIRECT("'"&amp;C4&amp;"'"&amp;"!A:A"),结果表!B19,INDIRECT("'"&amp;C4&amp;"'"&amp;"!B:B"))</f>
        <v>2188.9706999999999</v>
      </c>
      <c r="D19" s="135">
        <f ca="1">SUMIF(INDIRECT("'"&amp;D4&amp;"'"&amp;"!A:A"),结果表!B19,INDIRECT("'"&amp;D4&amp;"'"&amp;"!B:B"))</f>
        <v>1139.3752999999999</v>
      </c>
      <c r="E19" s="1761" t="s">
        <v>1292</v>
      </c>
      <c r="F19" s="1762" t="s">
        <v>1291</v>
      </c>
      <c r="G19" s="136">
        <f ca="1">ROUND(C19*$C$18+D19*$D$18,0)</f>
        <v>1874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35819</v>
      </c>
      <c r="D20" s="138">
        <f ca="1">SUMIF(INDIRECT("'"&amp;D4&amp;"'"&amp;"!A:A"),结果表!B20,INDIRECT("'"&amp;D4&amp;"'"&amp;"!B:B"))</f>
        <v>18644</v>
      </c>
      <c r="E20" s="1764"/>
      <c r="F20" s="1026" t="s">
        <v>1295</v>
      </c>
      <c r="G20" s="139">
        <f ca="1">ROUND(C20*$C$18+D20*$D$18,0)</f>
        <v>30667</v>
      </c>
      <c r="H20" s="808" t="s">
        <v>1296</v>
      </c>
      <c r="I20" s="129"/>
      <c r="K20" s="344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K21" s="3449"/>
    </row>
    <row r="22" spans="1:36" ht="15" thickBot="1">
      <c r="A22" s="1688" t="s">
        <v>1298</v>
      </c>
      <c r="B22" s="1767"/>
      <c r="C22" s="1768"/>
      <c r="D22" s="721">
        <f ca="1">IF(C19&lt;D19,D19/C19-1,C19/D19-1)</f>
        <v>0.92120252211891906</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c r="K25" s="725" t="s">
        <v>3637</v>
      </c>
    </row>
    <row r="26" spans="1:36" ht="13.5" customHeight="1">
      <c r="A26" s="1771" t="s">
        <v>1300</v>
      </c>
      <c r="B26" s="142" t="s">
        <v>1301</v>
      </c>
      <c r="C26" s="142" t="s">
        <v>1302</v>
      </c>
      <c r="D26" s="143" t="s">
        <v>1303</v>
      </c>
      <c r="E26" s="129"/>
      <c r="F26" s="129"/>
      <c r="G26" s="129"/>
      <c r="H26" s="129"/>
      <c r="I26" s="129"/>
      <c r="K26" s="725" t="s">
        <v>3636</v>
      </c>
    </row>
    <row r="27" spans="1:36" ht="14.25">
      <c r="A27" s="1771"/>
      <c r="B27" s="142">
        <v>0</v>
      </c>
      <c r="C27" s="142">
        <v>0</v>
      </c>
      <c r="D27" s="143">
        <f>ROUND(C27*B27/10000,0)</f>
        <v>0</v>
      </c>
      <c r="E27" s="129"/>
      <c r="F27" s="129"/>
      <c r="G27" s="129"/>
      <c r="H27" s="129"/>
      <c r="I27" s="129"/>
      <c r="K27" s="725" t="s">
        <v>3636</v>
      </c>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1874</v>
      </c>
      <c r="D32" s="1775" t="s">
        <v>3422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74" t="s">
        <v>1326</v>
      </c>
      <c r="B45" s="3575"/>
      <c r="C45" s="3576"/>
      <c r="D45" s="155">
        <f ca="1">ROUND(H101*F45,0)</f>
        <v>1874</v>
      </c>
      <c r="E45" s="156" t="s">
        <v>1327</v>
      </c>
      <c r="F45" s="157">
        <v>1</v>
      </c>
      <c r="G45" s="158" t="s">
        <v>1328</v>
      </c>
      <c r="H45" s="129"/>
      <c r="I45" s="129"/>
      <c r="J45" s="3652" t="s">
        <v>1329</v>
      </c>
      <c r="K45" s="3652"/>
      <c r="L45" s="3652"/>
      <c r="M45" s="3652"/>
      <c r="N45" s="3652"/>
      <c r="O45" s="3652"/>
    </row>
    <row r="46" spans="1:15" ht="14.25" hidden="1" customHeight="1">
      <c r="A46" s="3571" t="s">
        <v>1330</v>
      </c>
      <c r="B46" s="3572"/>
      <c r="C46" s="3572"/>
      <c r="D46" s="3572"/>
      <c r="E46" s="3572"/>
      <c r="F46" s="3572"/>
      <c r="G46" s="3573"/>
      <c r="H46" s="1806"/>
      <c r="I46" s="159"/>
      <c r="J46" s="2519">
        <v>1</v>
      </c>
      <c r="K46" s="3633" t="s">
        <v>1331</v>
      </c>
      <c r="L46" s="3633"/>
      <c r="M46" s="3653"/>
      <c r="N46" s="3653"/>
      <c r="O46" s="3653"/>
    </row>
    <row r="47" spans="1:15" ht="12" hidden="1" customHeight="1">
      <c r="A47" s="160" t="s">
        <v>1332</v>
      </c>
      <c r="B47" s="161"/>
      <c r="C47" s="162"/>
      <c r="D47" s="1087" t="s">
        <v>1333</v>
      </c>
      <c r="E47" s="302" t="s">
        <v>1334</v>
      </c>
      <c r="F47" s="163" t="s">
        <v>1335</v>
      </c>
      <c r="G47" s="2542" t="s">
        <v>1336</v>
      </c>
      <c r="H47" s="2543"/>
      <c r="I47" s="159"/>
      <c r="J47" s="2519">
        <v>2</v>
      </c>
      <c r="K47" s="3633" t="s">
        <v>1337</v>
      </c>
      <c r="L47" s="3633"/>
      <c r="M47" s="3654">
        <f>'数据-取费表'!B2</f>
        <v>44998</v>
      </c>
      <c r="N47" s="3654"/>
      <c r="O47" s="3654"/>
    </row>
    <row r="48" spans="1:15" ht="25.5" hidden="1">
      <c r="A48" s="3602" t="s">
        <v>1338</v>
      </c>
      <c r="B48" s="3585"/>
      <c r="C48" s="3585"/>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633" t="s">
        <v>1340</v>
      </c>
      <c r="L48" s="3633"/>
      <c r="M48" s="3655">
        <f ca="1">H101</f>
        <v>1874</v>
      </c>
      <c r="N48" s="3655"/>
      <c r="O48" s="3655"/>
    </row>
    <row r="49" spans="1:35" ht="25.5" hidden="1" customHeight="1">
      <c r="A49" s="2333" t="s">
        <v>1341</v>
      </c>
      <c r="B49" s="3569" t="s">
        <v>1342</v>
      </c>
      <c r="C49" s="3569"/>
      <c r="D49" s="1590">
        <v>0</v>
      </c>
      <c r="E49" s="324" t="s">
        <v>1343</v>
      </c>
      <c r="F49" s="2422" t="s">
        <v>28</v>
      </c>
      <c r="G49" s="3639"/>
      <c r="H49" s="2310" t="s">
        <v>2134</v>
      </c>
      <c r="I49" s="2311"/>
      <c r="J49" s="2519">
        <v>4</v>
      </c>
      <c r="K49" s="3633" t="str">
        <f>IF(项目基本情况!E8="房地产抵押价值","房地产抵押价值","抵押担保权已注销时的房地产抵押价值")</f>
        <v>房地产抵押价值</v>
      </c>
      <c r="L49" s="3633"/>
      <c r="M49" s="3655">
        <f ca="1">IF(项目基本情况!E8="房地产抵押价值",H107,H109)</f>
        <v>1874</v>
      </c>
      <c r="N49" s="3655"/>
      <c r="O49" s="3655"/>
    </row>
    <row r="50" spans="1:35" ht="25.5" hidden="1" customHeight="1">
      <c r="A50" s="2547"/>
      <c r="B50" s="3569" t="s">
        <v>1344</v>
      </c>
      <c r="C50" s="3569"/>
      <c r="D50" s="2548"/>
      <c r="E50" s="332"/>
      <c r="F50" s="2422"/>
      <c r="G50" s="3640"/>
      <c r="H50" s="2312" t="s">
        <v>2135</v>
      </c>
      <c r="I50" s="2311"/>
      <c r="J50" s="3652" t="s">
        <v>1345</v>
      </c>
      <c r="K50" s="3652"/>
      <c r="L50" s="3652"/>
      <c r="M50" s="3652"/>
      <c r="N50" s="3652"/>
      <c r="O50" s="3652"/>
    </row>
    <row r="51" spans="1:35" ht="20.45" hidden="1" customHeight="1">
      <c r="A51" s="2549"/>
      <c r="B51" s="3569" t="s">
        <v>1346</v>
      </c>
      <c r="C51" s="3569"/>
      <c r="D51" s="1087"/>
      <c r="E51" s="327"/>
      <c r="F51" s="2422"/>
      <c r="G51" s="3641"/>
      <c r="H51" s="2312" t="s">
        <v>2136</v>
      </c>
      <c r="I51" s="2311"/>
      <c r="J51" s="2520" t="s">
        <v>1347</v>
      </c>
      <c r="K51" s="3633" t="s">
        <v>1348</v>
      </c>
      <c r="L51" s="3633"/>
      <c r="M51" s="2520" t="s">
        <v>1349</v>
      </c>
      <c r="N51" s="2520" t="s">
        <v>1350</v>
      </c>
      <c r="O51" s="2520" t="s">
        <v>1351</v>
      </c>
    </row>
    <row r="52" spans="1:35" ht="24" hidden="1" customHeight="1">
      <c r="A52" s="2335" t="s">
        <v>1352</v>
      </c>
      <c r="B52" s="3569" t="s">
        <v>1353</v>
      </c>
      <c r="C52" s="3569"/>
      <c r="D52" s="1087">
        <f ca="1">ROUND(D45*'数据-取费表'!B41/(1+'数据-取费表'!C42),0)</f>
        <v>100</v>
      </c>
      <c r="E52" s="2334" t="s">
        <v>1354</v>
      </c>
      <c r="F52" s="2550">
        <f>'数据-取费表'!B41</f>
        <v>5.6000000000000001E-2</v>
      </c>
      <c r="G52" s="2551"/>
      <c r="H52" s="2540"/>
      <c r="I52" s="1807"/>
      <c r="J52" s="2519">
        <v>1</v>
      </c>
      <c r="K52" s="3634" t="s">
        <v>1355</v>
      </c>
      <c r="L52" s="3634"/>
      <c r="M52" s="2521" t="b">
        <f>D48</f>
        <v>0</v>
      </c>
      <c r="N52" s="2519" t="str">
        <f>E48</f>
        <v>销售额×税（费）率</v>
      </c>
      <c r="O52" s="2522">
        <f>F48</f>
        <v>5.6000000000000001E-2</v>
      </c>
    </row>
    <row r="53" spans="1:35" ht="12" hidden="1" customHeight="1">
      <c r="A53" s="2335" t="s">
        <v>1356</v>
      </c>
      <c r="B53" s="3595" t="s">
        <v>2287</v>
      </c>
      <c r="C53" s="3596"/>
      <c r="D53" s="1087">
        <f ca="1">ROUND(D45*'数据-取费表'!B41/(1+'数据-取费表'!C42),0)</f>
        <v>100</v>
      </c>
      <c r="E53" s="2334" t="s">
        <v>1354</v>
      </c>
      <c r="F53" s="2550">
        <f>'数据-取费表'!B41</f>
        <v>5.6000000000000001E-2</v>
      </c>
      <c r="G53" s="2551"/>
      <c r="H53" s="2540"/>
      <c r="I53" s="1807"/>
      <c r="J53" s="2519">
        <v>2</v>
      </c>
      <c r="K53" s="3634" t="s">
        <v>1357</v>
      </c>
      <c r="L53" s="3634"/>
      <c r="M53" s="2521">
        <f t="shared" ref="M53:O54" ca="1" si="0">D55</f>
        <v>1</v>
      </c>
      <c r="N53" s="2519" t="str">
        <f t="shared" si="0"/>
        <v>销售额×税（费）率</v>
      </c>
      <c r="O53" s="2522" t="str">
        <f t="shared" si="0"/>
        <v>免征</v>
      </c>
    </row>
    <row r="54" spans="1:35" ht="12" hidden="1" customHeight="1">
      <c r="A54" s="2335" t="s">
        <v>1358</v>
      </c>
      <c r="B54" s="3595" t="s">
        <v>2288</v>
      </c>
      <c r="C54" s="3596"/>
      <c r="D54" s="1087">
        <f ca="1">C68</f>
        <v>100</v>
      </c>
      <c r="E54" s="327" t="s">
        <v>1359</v>
      </c>
      <c r="F54" s="2550">
        <f>'数据-取费表'!B41</f>
        <v>5.6000000000000001E-2</v>
      </c>
      <c r="G54" s="2551"/>
      <c r="H54" s="2552"/>
      <c r="I54" s="1807"/>
      <c r="J54" s="2519">
        <v>3</v>
      </c>
      <c r="K54" s="3634" t="s">
        <v>1360</v>
      </c>
      <c r="L54" s="3634"/>
      <c r="M54" s="2521">
        <f t="shared" ca="1" si="0"/>
        <v>1061</v>
      </c>
      <c r="N54" s="2519" t="str">
        <f t="shared" si="0"/>
        <v>增值额×税（费）率</v>
      </c>
      <c r="O54" s="2523" t="str">
        <f t="shared" si="0"/>
        <v>免征</v>
      </c>
    </row>
    <row r="55" spans="1:35" ht="24" hidden="1" customHeight="1">
      <c r="A55" s="3584" t="s">
        <v>1361</v>
      </c>
      <c r="B55" s="3585"/>
      <c r="C55" s="3585"/>
      <c r="D55" s="2324">
        <f ca="1">IF(H55="个人住宅",0,ROUND(D45*I55,0))</f>
        <v>1</v>
      </c>
      <c r="E55" s="2334" t="s">
        <v>1362</v>
      </c>
      <c r="F55" s="2550" t="str">
        <f>IF(H55="正常",I55,"免征")</f>
        <v>免征</v>
      </c>
      <c r="G55" s="2551"/>
      <c r="H55" s="2546"/>
      <c r="I55" s="165">
        <f>'数据-取费表'!B49</f>
        <v>5.0000000000000001E-4</v>
      </c>
      <c r="J55" s="2519">
        <f>IF(H59="非个人房产","",4)</f>
        <v>4</v>
      </c>
      <c r="K55" s="3634" t="str">
        <f>IF(H59="非个人房产","——","个人所得税")</f>
        <v>个人所得税</v>
      </c>
      <c r="L55" s="3634"/>
      <c r="M55" s="2524">
        <f ca="1">D59</f>
        <v>18</v>
      </c>
      <c r="N55" s="2040" t="str">
        <f>E59</f>
        <v>差额计税</v>
      </c>
      <c r="O55" s="2525">
        <f>F59</f>
        <v>0.01</v>
      </c>
    </row>
    <row r="56" spans="1:35" ht="24.75" hidden="1">
      <c r="A56" s="3584" t="s">
        <v>1363</v>
      </c>
      <c r="B56" s="3585"/>
      <c r="C56" s="3585"/>
      <c r="D56" s="2324">
        <f ca="1">IF(H56="个人住宅",D57,D58)</f>
        <v>1061</v>
      </c>
      <c r="E56" s="2334" t="s">
        <v>1364</v>
      </c>
      <c r="F56" s="2550" t="str">
        <f>IF(H56="正常",F58,"免征")</f>
        <v>免征</v>
      </c>
      <c r="G56" s="2553" t="s">
        <v>1365</v>
      </c>
      <c r="H56" s="2554"/>
      <c r="I56" s="1808"/>
      <c r="J56" s="2519" t="str">
        <f>IF(项目基本情况!K6="上海银行",IF(J55="",4,J55+1),"")</f>
        <v/>
      </c>
      <c r="K56" s="3657" t="str">
        <f>IF(项目基本情况!K6="上海银行","其他处置费用","")</f>
        <v/>
      </c>
      <c r="L56" s="3658"/>
      <c r="M56" s="2521" t="str">
        <f>IF(项目基本情况!K6="上海银行",M69,"")</f>
        <v/>
      </c>
      <c r="N56" s="3657" t="str">
        <f>IF(项目基本情况!K6="上海银行","包含处置中涉及的律师、诉讼、拍卖、评估等费用","")</f>
        <v/>
      </c>
      <c r="O56" s="3660"/>
    </row>
    <row r="57" spans="1:35" ht="12.75" hidden="1">
      <c r="A57" s="2335" t="s">
        <v>1341</v>
      </c>
      <c r="B57" s="3595" t="s">
        <v>1366</v>
      </c>
      <c r="C57" s="3596"/>
      <c r="D57" s="1590">
        <v>0</v>
      </c>
      <c r="E57" s="324" t="s">
        <v>1343</v>
      </c>
      <c r="F57" s="302"/>
      <c r="G57" s="2551"/>
      <c r="H57" s="2555"/>
      <c r="I57" s="1808"/>
      <c r="J57" s="3634">
        <f>IF(AND(J55="",J56=""),4,IF(项目基本情况!K6="上海银行",结果表!J56+1,结果表!J55+1))</f>
        <v>5</v>
      </c>
      <c r="K57" s="3634" t="s">
        <v>1367</v>
      </c>
      <c r="L57" s="2526" t="s">
        <v>1368</v>
      </c>
      <c r="M57" s="2527"/>
      <c r="N57" s="2528">
        <f ca="1">SUMIF(M52:M56,"&lt;9e307")</f>
        <v>1080</v>
      </c>
      <c r="O57" s="2529"/>
      <c r="P57" s="2685">
        <f ca="1">N57/M49</f>
        <v>0.57630736392742798</v>
      </c>
    </row>
    <row r="58" spans="1:35" ht="24.75" hidden="1">
      <c r="A58" s="2335" t="s">
        <v>1352</v>
      </c>
      <c r="B58" s="3595" t="s">
        <v>1369</v>
      </c>
      <c r="C58" s="3569"/>
      <c r="D58" s="2324">
        <f ca="1">IF(H58="转让取得",C81,C97)</f>
        <v>1061</v>
      </c>
      <c r="E58" s="2334" t="s">
        <v>1364</v>
      </c>
      <c r="F58" s="302" t="s">
        <v>28</v>
      </c>
      <c r="G58" s="2551"/>
      <c r="H58" s="2554"/>
      <c r="I58" s="1808"/>
      <c r="J58" s="3634"/>
      <c r="K58" s="3634"/>
      <c r="L58" s="2526" t="s">
        <v>1370</v>
      </c>
      <c r="M58" s="2530"/>
      <c r="N58" s="2531" t="str">
        <f ca="1">NUMBERSTRING(INT(N57*10000),2)&amp;"元整"</f>
        <v>壹仟零捌拾万元整</v>
      </c>
      <c r="O58" s="2532"/>
    </row>
    <row r="59" spans="1:35" ht="24.75" hidden="1" thickBot="1">
      <c r="A59" s="3637" t="s">
        <v>1371</v>
      </c>
      <c r="B59" s="3638"/>
      <c r="C59" s="3638"/>
      <c r="D59" s="2556">
        <f ca="1">IF(H59="非个人房产","——",IF(H59="个人住宅（满五唯一有凭证）",0,IF(H59="个人其他（无凭证）",ROUND(D45*F59,0),ROUND(C67*F59,0))))</f>
        <v>18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635">
        <f>J57+1</f>
        <v>6</v>
      </c>
      <c r="K59" s="3634" t="s">
        <v>1372</v>
      </c>
      <c r="L59" s="2519" t="s">
        <v>1368</v>
      </c>
      <c r="M59" s="2533"/>
      <c r="N59" s="2534">
        <f ca="1">M49-N57</f>
        <v>794</v>
      </c>
      <c r="O59" s="2535"/>
    </row>
    <row r="60" spans="1:35" ht="12" hidden="1" customHeight="1">
      <c r="A60" s="1809"/>
      <c r="B60" s="1747"/>
      <c r="C60" s="1747"/>
      <c r="D60" s="1747"/>
      <c r="E60" s="1578"/>
      <c r="F60" s="1808"/>
      <c r="G60" s="1808"/>
      <c r="H60" s="1810"/>
      <c r="I60" s="129"/>
      <c r="J60" s="3636"/>
      <c r="K60" s="3634"/>
      <c r="L60" s="2526" t="s">
        <v>1370</v>
      </c>
      <c r="M60" s="2530"/>
      <c r="N60" s="2531" t="str">
        <f ca="1">NUMBERSTRING(INT(N59*10000),2)&amp;"元整"</f>
        <v>柒佰玖拾肆万元整</v>
      </c>
      <c r="O60" s="2532"/>
    </row>
    <row r="61" spans="1:35" ht="13.5" hidden="1" thickBot="1">
      <c r="A61" s="3582" t="s">
        <v>1373</v>
      </c>
      <c r="B61" s="3582"/>
      <c r="C61" s="3582"/>
      <c r="D61" s="3582"/>
      <c r="E61" s="3582"/>
      <c r="F61" s="1808"/>
      <c r="G61" s="1808"/>
      <c r="H61" s="1810"/>
      <c r="I61" s="129"/>
      <c r="J61" s="2519">
        <f>J59+1</f>
        <v>7</v>
      </c>
      <c r="K61" s="3634" t="s">
        <v>1374</v>
      </c>
      <c r="L61" s="3634"/>
      <c r="M61" s="2536"/>
      <c r="N61" s="2537">
        <f ca="1">ROUND(N59*10000/'数据-汇总表'!E3,0)</f>
        <v>12993</v>
      </c>
      <c r="O61" s="2538"/>
    </row>
    <row r="62" spans="1:35" ht="12.75" hidden="1">
      <c r="A62" s="3600" t="s">
        <v>1375</v>
      </c>
      <c r="B62" s="3601"/>
      <c r="C62" s="2021"/>
      <c r="D62" s="2021" t="s">
        <v>1376</v>
      </c>
      <c r="E62" s="166" t="s">
        <v>1377</v>
      </c>
      <c r="F62" s="1808"/>
      <c r="G62" s="1808"/>
      <c r="H62" s="1810"/>
      <c r="I62" s="129"/>
    </row>
    <row r="63" spans="1:35" ht="12.75" hidden="1">
      <c r="A63" s="173" t="s">
        <v>330</v>
      </c>
      <c r="B63" s="167" t="s">
        <v>1378</v>
      </c>
      <c r="C63" s="2560">
        <f ca="1">ROUND((C64+C65)/(1+'数据-取费表'!C42),0)</f>
        <v>1785</v>
      </c>
      <c r="D63" s="167"/>
      <c r="E63" s="168"/>
      <c r="F63" s="1808"/>
      <c r="G63" s="1808"/>
      <c r="H63" s="1810"/>
      <c r="I63" s="129"/>
      <c r="J63" s="3659" t="s">
        <v>1379</v>
      </c>
      <c r="K63" s="1332" t="s">
        <v>1380</v>
      </c>
      <c r="L63" s="1332">
        <f ca="1">IF(M49&gt;10000,M49*0.5%,IF(AND(M49&gt;1000,M49&lt;=10000),M49*1%,IF(AND(M49&gt;100,M49&lt;=1000),M49*3%,IF(AND(M49&gt;10,M49&lt;=100),M49*5%,M49*8%))))</f>
        <v>18.740000000000002</v>
      </c>
      <c r="M63" s="302">
        <f ca="1">ROUND(L63,1)</f>
        <v>18.7</v>
      </c>
      <c r="N63" s="2539"/>
      <c r="Z63" s="1752"/>
      <c r="AI63" s="1753"/>
    </row>
    <row r="64" spans="1:35" ht="14.25" hidden="1" customHeight="1">
      <c r="A64" s="169" t="s">
        <v>325</v>
      </c>
      <c r="B64" s="170" t="s">
        <v>1381</v>
      </c>
      <c r="C64" s="2561">
        <f ca="1">D45</f>
        <v>1874</v>
      </c>
      <c r="D64" s="170" t="s">
        <v>26</v>
      </c>
      <c r="E64" s="172"/>
      <c r="F64" s="1808"/>
      <c r="G64" s="1808"/>
      <c r="H64" s="1810"/>
      <c r="I64" s="129"/>
      <c r="J64" s="3659"/>
      <c r="K64" s="1332" t="s">
        <v>1382</v>
      </c>
      <c r="L64" s="1332">
        <f ca="1">IF(M49&gt;2000,M49*0.5%,IF(AND(M49&gt;1000,M49&lt;=2000),M49*0.6%,IF(AND(M49&gt;500,M49&lt;=1000),M49*0.7%,IF(AND(M49&gt;200,M49&lt;=500),M49*0.8%,IF(AND(M49&gt;100,M49&lt;=200),M49*0.9%,IF(AND(M49&gt;50,M49&lt;=100),M49*1%,IF(AND(M49&gt;20,M49&lt;=50),M49*1.5%,IF(AND(M49&gt;10,M49&lt;=20),M49*2%,IF(AND(M49&gt;1,M49&lt;=10),M49*2.5%)))))))))</f>
        <v>11.244</v>
      </c>
      <c r="M64" s="302">
        <f t="shared" ref="M64:M65" ca="1" si="1">ROUND(L64,1)</f>
        <v>11.2</v>
      </c>
      <c r="N64" s="2540" t="s">
        <v>1383</v>
      </c>
      <c r="Z64" s="1752"/>
      <c r="AI64" s="1753"/>
    </row>
    <row r="65" spans="1:35" ht="14.25" hidden="1" customHeight="1">
      <c r="A65" s="169" t="s">
        <v>326</v>
      </c>
      <c r="B65" s="170" t="s">
        <v>1384</v>
      </c>
      <c r="C65" s="2562"/>
      <c r="D65" s="170"/>
      <c r="E65" s="172"/>
      <c r="F65" s="1808"/>
      <c r="G65" s="1808"/>
      <c r="H65" s="1810"/>
      <c r="I65" s="129"/>
      <c r="J65" s="3659"/>
      <c r="K65" s="1332" t="s">
        <v>1385</v>
      </c>
      <c r="L65" s="1332">
        <f ca="1">IF(M49&gt;1000,M49*0.1%,IF(AND(M49&gt;500,M49&lt;=1000),M49*0.5%,IF(AND(M49&gt;50,M49&lt;=500),M49*1%,IF(AND(M49&gt;1,M49&lt;=50),M49*1.5%))))</f>
        <v>1.8740000000000001</v>
      </c>
      <c r="M65" s="302">
        <f t="shared" ca="1" si="1"/>
        <v>1.9</v>
      </c>
      <c r="N65" s="2540" t="s">
        <v>1383</v>
      </c>
      <c r="Z65" s="1752"/>
      <c r="AI65" s="1753"/>
    </row>
    <row r="66" spans="1:35" ht="14.25" hidden="1" customHeight="1">
      <c r="A66" s="173" t="s">
        <v>327</v>
      </c>
      <c r="B66" s="174" t="s">
        <v>1386</v>
      </c>
      <c r="C66" s="2563"/>
      <c r="D66" s="174" t="s">
        <v>26</v>
      </c>
      <c r="E66" s="1338" t="s">
        <v>671</v>
      </c>
      <c r="F66" s="1808"/>
      <c r="G66" s="1808"/>
      <c r="H66" s="1810"/>
      <c r="I66" s="129"/>
      <c r="J66" s="3659"/>
      <c r="K66" s="1332" t="s">
        <v>1387</v>
      </c>
      <c r="L66" s="1332">
        <f ca="1">M49*0.5%</f>
        <v>9.370000000000001</v>
      </c>
      <c r="M66" s="302">
        <f ca="1">IF(L66&gt;0.5,0.5,ROUND(L66,0))</f>
        <v>0.5</v>
      </c>
      <c r="N66" s="2540" t="s">
        <v>1388</v>
      </c>
      <c r="Z66" s="1752"/>
      <c r="AI66" s="1753"/>
    </row>
    <row r="67" spans="1:35" ht="14.25" hidden="1" customHeight="1">
      <c r="A67" s="173" t="s">
        <v>328</v>
      </c>
      <c r="B67" s="174" t="s">
        <v>1389</v>
      </c>
      <c r="C67" s="2564">
        <f ca="1">C63-C66</f>
        <v>1785</v>
      </c>
      <c r="D67" s="170" t="s">
        <v>26</v>
      </c>
      <c r="E67" s="172"/>
      <c r="F67" s="1808"/>
      <c r="G67" s="1808"/>
      <c r="H67" s="1810"/>
      <c r="I67" s="129"/>
      <c r="J67" s="3659"/>
      <c r="K67" s="1332" t="s">
        <v>1390</v>
      </c>
      <c r="L67" s="1332">
        <f ca="1">IF(M49&gt;=10000,(8.25+(M49-10000)*0.01%),IF(AND(M49&gt;=8000,M49&lt;10000),(7.85+(M49-8000)*0.02%),IF(AND(M49&gt;=5000,M49&lt;8000),(6.65+(M49-5000)*0.04%),IF(AND(M49&gt;=2000,M49&lt;5000),(4.25+(PM49-2000)*0.08%),IF(AND(M49&gt;=1000,M49&lt;2000),(2.75+(M49-1000)*0.15%),IF(AND(M49&gt;=100,M49&lt;1000),(0.5+(M49-100)*0.25%),IF(AND(M49&gt;0,M49&lt;100),M49*0.5%)))))))</f>
        <v>4.0609999999999999</v>
      </c>
      <c r="M67" s="302">
        <f ca="1">ROUND(L67*0.9,1)</f>
        <v>3.7</v>
      </c>
      <c r="N67" s="2539"/>
      <c r="Z67" s="1752"/>
      <c r="AI67" s="1753"/>
    </row>
    <row r="68" spans="1:35" ht="14.25" hidden="1" customHeight="1" thickBot="1">
      <c r="A68" s="176" t="s">
        <v>329</v>
      </c>
      <c r="B68" s="177" t="s">
        <v>1391</v>
      </c>
      <c r="C68" s="2565">
        <f ca="1">IF(C67&lt;=0,0,ROUND(C67*D68,0))</f>
        <v>100</v>
      </c>
      <c r="D68" s="2566">
        <f>'数据-取费表'!B41</f>
        <v>5.6000000000000001E-2</v>
      </c>
      <c r="E68" s="178"/>
      <c r="F68" s="1808"/>
      <c r="G68" s="1808"/>
      <c r="H68" s="1810"/>
      <c r="I68" s="129"/>
      <c r="J68" s="3659"/>
      <c r="K68" s="1332" t="s">
        <v>1392</v>
      </c>
      <c r="L68" s="1332">
        <f ca="1">IF(M49&gt;10000,M49*0.5%,IF(AND(M49&gt;5000,M49&lt;=10000),M49*1%,IF(AND(M49&gt;1000,M49&lt;=5000),M49*2%,IF(AND(M49&gt;200,M49&lt;=1000),M49*3%,M49*5%))))</f>
        <v>37.480000000000004</v>
      </c>
      <c r="M68" s="302">
        <f ca="1">ROUND(L68,1)</f>
        <v>37.5</v>
      </c>
      <c r="N68" s="2539"/>
      <c r="Z68" s="1752"/>
      <c r="AI68" s="1753"/>
    </row>
    <row r="69" spans="1:35" s="1772" customFormat="1" ht="16.5" hidden="1" customHeight="1">
      <c r="A69" s="1811"/>
      <c r="B69" s="1812"/>
      <c r="C69" s="1813"/>
      <c r="D69" s="1814"/>
      <c r="E69" s="1815"/>
      <c r="F69" s="1578"/>
      <c r="G69" s="1578"/>
      <c r="H69" s="1577"/>
      <c r="I69" s="1747"/>
      <c r="J69" s="3659"/>
      <c r="K69" s="1332" t="s">
        <v>1393</v>
      </c>
      <c r="L69" s="1332"/>
      <c r="M69" s="302">
        <f ca="1">ROUND(SUM(M63:M68),0)</f>
        <v>74</v>
      </c>
      <c r="N69" s="2541">
        <f ca="1">M69/M49</f>
        <v>3.9487726787620067E-2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21" t="s">
        <v>1394</v>
      </c>
      <c r="B70" s="3622"/>
      <c r="C70" s="3622"/>
      <c r="D70" s="3622"/>
      <c r="E70" s="3622"/>
      <c r="F70" s="3622"/>
      <c r="G70" s="3622"/>
      <c r="H70" s="3622"/>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0" t="s">
        <v>1375</v>
      </c>
      <c r="B71" s="3601"/>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1785</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11</v>
      </c>
      <c r="D78" s="2573">
        <f>'数据-取费表'!B43</f>
        <v>6.000000000000001E-3</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1774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161.27272727272728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1061</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1785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11</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661" t="s">
        <v>2129</v>
      </c>
      <c r="H90" s="3662"/>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579" t="s">
        <v>1422</v>
      </c>
      <c r="F92" s="3580"/>
      <c r="G92" s="3580"/>
      <c r="H92" s="3589"/>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11</v>
      </c>
      <c r="D93" s="2573">
        <f>'数据-取费表'!B43</f>
        <v>6.000000000000001E-3</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1774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161.27272727272728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1061</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1" t="str">
        <f>C4</f>
        <v>比较法-商业 (售价)</v>
      </c>
      <c r="D101" s="2582" t="str">
        <f>D4</f>
        <v>收益法 (元)</v>
      </c>
      <c r="E101" s="3656" t="s">
        <v>1431</v>
      </c>
      <c r="F101" s="3613"/>
      <c r="G101" s="1827" t="s">
        <v>1432</v>
      </c>
      <c r="H101" s="2591">
        <f ca="1">H118</f>
        <v>1874</v>
      </c>
      <c r="I101" s="129"/>
    </row>
    <row r="102" spans="1:35" ht="18.75" customHeight="1">
      <c r="A102" s="3615" t="s">
        <v>1433</v>
      </c>
      <c r="B102" s="2580" t="s">
        <v>1432</v>
      </c>
      <c r="C102" s="2581">
        <f ca="1">IF(D32="楼面单价",ROUND(C19,0),C19)</f>
        <v>2188.9706999999999</v>
      </c>
      <c r="D102" s="2582">
        <f ca="1">IF(D32="楼面单价",ROUND(D19,0),D19)</f>
        <v>1139.3752999999999</v>
      </c>
      <c r="E102" s="3656"/>
      <c r="F102" s="3613"/>
      <c r="G102" s="1827" t="s">
        <v>1434</v>
      </c>
      <c r="H102" s="2551">
        <f ca="1">I118</f>
        <v>30665</v>
      </c>
      <c r="I102" s="129"/>
    </row>
    <row r="103" spans="1:35" ht="42.75" customHeight="1">
      <c r="A103" s="3615"/>
      <c r="B103" s="2580" t="s">
        <v>1434</v>
      </c>
      <c r="C103" s="2583">
        <f ca="1">C20</f>
        <v>35819</v>
      </c>
      <c r="D103" s="2584">
        <f ca="1">D20</f>
        <v>18644</v>
      </c>
      <c r="E103" s="3650" t="s">
        <v>1435</v>
      </c>
      <c r="F103" s="3651"/>
      <c r="G103" s="1828" t="s">
        <v>1436</v>
      </c>
      <c r="H103" s="2591">
        <f>IF(D36="正常操作",H104+H105+H106,H105+H106)</f>
        <v>0</v>
      </c>
      <c r="I103" s="129"/>
    </row>
    <row r="104" spans="1:35" ht="18.75" customHeight="1">
      <c r="A104" s="3615" t="s">
        <v>1437</v>
      </c>
      <c r="B104" s="2585" t="s">
        <v>1432</v>
      </c>
      <c r="C104" s="2586">
        <f ca="1">H118</f>
        <v>1874</v>
      </c>
      <c r="D104" s="2587"/>
      <c r="E104" s="1674" t="s">
        <v>1438</v>
      </c>
      <c r="F104" s="1666"/>
      <c r="G104" s="1828" t="s">
        <v>1436</v>
      </c>
      <c r="H104" s="2592">
        <f>IF(D36="同一抵押权人同一抵押物续贷",C36&amp;"（续贷，未扣减，详见特别提示）",C36)</f>
        <v>0</v>
      </c>
      <c r="I104" s="129"/>
    </row>
    <row r="105" spans="1:35" ht="18.75" customHeight="1" thickBot="1">
      <c r="A105" s="3616"/>
      <c r="B105" s="2588" t="s">
        <v>1434</v>
      </c>
      <c r="C105" s="2589">
        <f ca="1">I118</f>
        <v>30665</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12" t="str">
        <f>IF(项目基本情况!E8="已注销","——","3.房地产抵押价值")</f>
        <v>3.房地产抵押价值</v>
      </c>
      <c r="F107" s="3613"/>
      <c r="G107" s="1827" t="s">
        <v>1432</v>
      </c>
      <c r="H107" s="2591">
        <f ca="1">IF(E107="——","——",H101-H103)</f>
        <v>1874</v>
      </c>
      <c r="I107" s="129"/>
    </row>
    <row r="108" spans="1:35" ht="18.75" customHeight="1">
      <c r="A108" s="129"/>
      <c r="B108" s="129"/>
      <c r="C108" s="129"/>
      <c r="D108" s="129"/>
      <c r="E108" s="3612"/>
      <c r="F108" s="3613"/>
      <c r="G108" s="1827" t="s">
        <v>1434</v>
      </c>
      <c r="H108" s="2551">
        <f ca="1">IF(H107=H101,H102,ROUND(H107*10000/'数据-汇总表'!E3,0))</f>
        <v>30665</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4" t="str">
        <f>IF(E109="——","——",H101-H105-H106)</f>
        <v>——</v>
      </c>
      <c r="I109" s="129"/>
    </row>
    <row r="110" spans="1:35" ht="18.75" customHeight="1">
      <c r="A110" s="129"/>
      <c r="B110" s="129"/>
      <c r="C110" s="129"/>
      <c r="D110" s="129"/>
      <c r="E110" s="3612"/>
      <c r="F110" s="3613"/>
      <c r="G110" s="1827" t="s">
        <v>1434</v>
      </c>
      <c r="H110" s="2551"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1" t="str">
        <f>IF(E111="——","——",N59)</f>
        <v>——</v>
      </c>
      <c r="I111" s="129"/>
    </row>
    <row r="112" spans="1:35" ht="18.75" customHeight="1" thickBot="1">
      <c r="A112" s="129"/>
      <c r="B112" s="129"/>
      <c r="C112" s="129"/>
      <c r="D112" s="129"/>
      <c r="E112" s="3645"/>
      <c r="F112" s="3646"/>
      <c r="G112" s="1830" t="s">
        <v>1434</v>
      </c>
      <c r="H112" s="2595"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596" t="str">
        <f>项目基本情况!S2</f>
        <v>北京市朝阳区育慧西里10号楼3层全部房地产</v>
      </c>
      <c r="B118" s="2329">
        <f>M18</f>
        <v>611.12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1874</v>
      </c>
      <c r="I118" s="2329">
        <f ca="1">ROUND(IF(D32="楼面单价",C32,H118*10000/B118),0)</f>
        <v>30665</v>
      </c>
    </row>
    <row r="119" spans="1:27" ht="18.75" customHeight="1">
      <c r="A119" s="3583" t="s">
        <v>1452</v>
      </c>
      <c r="B119" s="3583"/>
      <c r="C119" s="3583"/>
      <c r="D119" s="3623" t="e">
        <f ca="1">NUMBERSTRING(INT(D118*10000),2)&amp;"元整"</f>
        <v>#REF!</v>
      </c>
      <c r="E119" s="3625"/>
      <c r="F119" s="3623" t="e">
        <f ca="1">NUMBERSTRING(INT(F118*10000),2)&amp;"元整"</f>
        <v>#REF!</v>
      </c>
      <c r="G119" s="3625"/>
      <c r="H119" s="3623" t="str">
        <f ca="1">NUMBERSTRING(INT(H118*10000),2)&amp;"元整"</f>
        <v>壹仟捌佰柒拾肆万元整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f ca="1">H107</f>
        <v>1874</v>
      </c>
      <c r="E122" s="3648"/>
      <c r="F122" s="3648"/>
      <c r="G122" s="3648"/>
      <c r="H122" s="3648"/>
      <c r="I122" s="3649"/>
      <c r="AA122" s="725"/>
    </row>
    <row r="123" spans="1:27" ht="18.75" customHeight="1">
      <c r="A123" s="3583" t="s">
        <v>1452</v>
      </c>
      <c r="B123" s="3583"/>
      <c r="C123" s="3583"/>
      <c r="D123" s="3623" t="str">
        <f ca="1">NUMBERSTRING(INT(D122*10000),2)&amp;"元整"</f>
        <v>壹仟捌佰柒拾肆万元整</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80" zoomScaleNormal="70" zoomScaleSheetLayoutView="80" workbookViewId="0">
      <selection activeCell="I56" sqref="I5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3412</v>
      </c>
      <c r="C1" s="198"/>
      <c r="D1" s="198"/>
      <c r="E1" s="198"/>
      <c r="F1" s="198"/>
      <c r="G1" s="1126">
        <f>MATCH(B1,'数据-取费表'!A6:A16,0)+5</f>
        <v>6</v>
      </c>
    </row>
    <row r="2" spans="1:9" s="200" customFormat="1" ht="18" customHeight="1">
      <c r="A2" s="201" t="s">
        <v>1462</v>
      </c>
      <c r="B2" s="202">
        <f ca="1">IF(D2="——",C52,C52-E2)</f>
        <v>1578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995</v>
      </c>
      <c r="D5" s="211" t="s">
        <v>1469</v>
      </c>
      <c r="E5" s="212" t="s">
        <v>1470</v>
      </c>
      <c r="F5" s="212" t="s">
        <v>1471</v>
      </c>
      <c r="G5" s="213"/>
    </row>
    <row r="6" spans="1:9" s="214" customFormat="1" ht="13.5" customHeight="1">
      <c r="A6" s="778" t="s">
        <v>1472</v>
      </c>
      <c r="B6" s="215" t="s">
        <v>1473</v>
      </c>
      <c r="C6" s="216">
        <f>基准地价修正!B2</f>
        <v>966</v>
      </c>
      <c r="D6" s="217"/>
      <c r="E6" s="218"/>
      <c r="F6" s="218"/>
      <c r="G6" s="219"/>
    </row>
    <row r="7" spans="1:9" s="214" customFormat="1" ht="13.5" customHeight="1">
      <c r="A7" s="778" t="s">
        <v>1474</v>
      </c>
      <c r="B7" s="215" t="s">
        <v>1475</v>
      </c>
      <c r="C7" s="220">
        <f>ROUND(C6*F7,0)</f>
        <v>29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611.12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611.12</v>
      </c>
      <c r="E19" s="211">
        <f>'数据-取费表'!B31</f>
        <v>200</v>
      </c>
      <c r="F19" s="231"/>
      <c r="G19" s="1856" t="s">
        <v>3404</v>
      </c>
    </row>
    <row r="20" spans="1:7" s="214" customFormat="1" ht="13.5" customHeight="1">
      <c r="A20" s="255" t="s">
        <v>1493</v>
      </c>
      <c r="B20" s="210" t="s">
        <v>1494</v>
      </c>
      <c r="C20" s="232">
        <f>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152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152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244</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611.12</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63" t="s">
        <v>1544</v>
      </c>
    </row>
    <row r="43" spans="1:7" ht="13.5" customHeight="1">
      <c r="A43" s="780" t="s">
        <v>347</v>
      </c>
      <c r="B43" s="215" t="s">
        <v>1545</v>
      </c>
      <c r="C43" s="238">
        <f ca="1">ROUND(IF('数据-取费表'!B22&lt;=1,C39*F22*'数据-取费表'!B21/2,C39*(POWER((1+F22),'数据-取费表'!B21/2)-1)),0)</f>
        <v>0</v>
      </c>
      <c r="D43" s="238"/>
      <c r="E43" s="238"/>
      <c r="F43" s="239"/>
      <c r="G43" s="3664"/>
    </row>
    <row r="44" spans="1:7" ht="13.5" customHeight="1">
      <c r="A44" s="780" t="s">
        <v>348</v>
      </c>
      <c r="B44" s="215" t="s">
        <v>1546</v>
      </c>
      <c r="C44" s="238">
        <f ca="1">ROUND(IF('数据-取费表'!B22&lt;=1,C40*F22*'数据-取费表'!B21/2,C40*(POWER((1+F22),'数据-取费表'!B21/2)-1)),4)</f>
        <v>5.9999999999999995E-4</v>
      </c>
      <c r="D44" s="238"/>
      <c r="E44" s="238"/>
      <c r="F44" s="239"/>
      <c r="G44" s="3665"/>
    </row>
    <row r="45" spans="1:7" s="214" customFormat="1" ht="13.5" customHeight="1">
      <c r="A45" s="255" t="s">
        <v>1547</v>
      </c>
      <c r="B45" s="244" t="s">
        <v>1513</v>
      </c>
      <c r="C45" s="245">
        <f ca="1">C46</f>
        <v>41</v>
      </c>
      <c r="D45" s="235">
        <f ca="1">C47</f>
        <v>3.0000000000000001E-3</v>
      </c>
      <c r="E45" s="236" t="s">
        <v>1539</v>
      </c>
      <c r="F45" s="246">
        <f ca="1">F27</f>
        <v>0.15</v>
      </c>
      <c r="G45" s="247" t="s">
        <v>1548</v>
      </c>
    </row>
    <row r="46" spans="1:7" s="214" customFormat="1" ht="13.5" customHeight="1">
      <c r="A46" s="780" t="s">
        <v>346</v>
      </c>
      <c r="B46" s="248" t="s">
        <v>1549</v>
      </c>
      <c r="C46" s="249">
        <f ca="1">ROUND((C33+C39)*F27,0)</f>
        <v>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244</v>
      </c>
      <c r="D51" s="232"/>
      <c r="E51" s="232"/>
      <c r="F51" s="264"/>
      <c r="G51" s="234" t="s">
        <v>1560</v>
      </c>
    </row>
    <row r="52" spans="1:7" s="208" customFormat="1" ht="16.5" thickBot="1">
      <c r="A52" s="265" t="s">
        <v>1561</v>
      </c>
      <c r="B52" s="266"/>
      <c r="C52" s="267">
        <f ca="1">C31+C51</f>
        <v>1578</v>
      </c>
      <c r="D52" s="266"/>
      <c r="E52" s="266"/>
      <c r="F52" s="266"/>
      <c r="G52" s="268"/>
    </row>
    <row r="55" spans="1:7" ht="15">
      <c r="B55" s="270" t="s">
        <v>1562</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北京市朝阳区育慧西里10号楼3层全部房地产抵押价值预评估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611.12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611.12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611.12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69" t="s">
        <v>2084</v>
      </c>
      <c r="D1" s="3670"/>
      <c r="E1" s="3670"/>
      <c r="F1" s="3670"/>
      <c r="G1" s="3670"/>
      <c r="H1" s="3670"/>
      <c r="I1" s="3670"/>
      <c r="J1" s="3670"/>
      <c r="K1" s="3670"/>
      <c r="L1" s="3670"/>
      <c r="M1" s="3670"/>
      <c r="N1" s="3670"/>
      <c r="O1" s="3670"/>
      <c r="P1" s="3670"/>
      <c r="Q1" s="3670"/>
      <c r="R1" s="3670"/>
      <c r="S1" s="3671"/>
      <c r="T1" s="983" t="s">
        <v>2085</v>
      </c>
    </row>
    <row r="2" spans="1:45" s="655" customFormat="1" ht="25.5">
      <c r="A2" s="984"/>
      <c r="B2" s="651" t="s">
        <v>2086</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3</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60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1090</v>
      </c>
      <c r="C20" s="159"/>
      <c r="D20" s="2151" t="s">
        <v>3635</v>
      </c>
      <c r="E20" s="1341"/>
      <c r="F20" s="983">
        <f ca="1">SUMIF(INDIRECT("'"&amp;H20&amp;"'"&amp;"!A:A"),"承租人权益价值",INDIRECT("'"&amp;H20&amp;"'"&amp;"!c:c"))</f>
        <v>223</v>
      </c>
      <c r="G20" s="983" t="s">
        <v>2097</v>
      </c>
      <c r="H20" s="2152" t="s">
        <v>3418</v>
      </c>
      <c r="I20" s="159"/>
      <c r="J20" s="159"/>
      <c r="K20" s="159"/>
      <c r="L20" s="159"/>
      <c r="M20" s="159"/>
      <c r="N20" s="159"/>
      <c r="O20" s="159"/>
      <c r="P20" s="159"/>
      <c r="Q20" s="159"/>
      <c r="R20" s="718"/>
      <c r="S20" s="129"/>
    </row>
    <row r="21" spans="1:45" ht="15.75">
      <c r="A21" s="662" t="s">
        <v>2098</v>
      </c>
      <c r="B21" s="294">
        <f ca="1">ROUND(B20*10000/B22,0)</f>
        <v>17836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611.12</v>
      </c>
      <c r="C22" s="3666" t="s">
        <v>27</v>
      </c>
      <c r="D22" s="3667"/>
      <c r="E22" s="3667"/>
      <c r="F22" s="3667"/>
      <c r="G22" s="3667"/>
      <c r="H22" s="3667"/>
      <c r="I22" s="3667"/>
      <c r="J22" s="3667"/>
      <c r="K22" s="3667"/>
      <c r="L22" s="3667"/>
      <c r="M22" s="3667"/>
      <c r="N22" s="3667"/>
      <c r="O22" s="3667"/>
      <c r="P22" s="3667"/>
      <c r="Q22" s="3668"/>
      <c r="R22" s="663">
        <f>ROUND(S22*10000/B22,0)</f>
        <v>21485</v>
      </c>
      <c r="S22" s="21">
        <f>SUM(S24:S10000)</f>
        <v>1313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v>0</v>
      </c>
      <c r="C24" s="2805">
        <v>1</v>
      </c>
      <c r="D24" s="2806"/>
      <c r="E24" s="2805">
        <v>1</v>
      </c>
      <c r="F24" s="2806"/>
      <c r="G24" s="2805">
        <v>1</v>
      </c>
      <c r="H24" s="2806"/>
      <c r="I24" s="2805">
        <v>1</v>
      </c>
      <c r="J24" s="2806"/>
      <c r="K24" s="2805">
        <v>1</v>
      </c>
      <c r="L24" s="2806"/>
      <c r="M24" s="2805">
        <v>1</v>
      </c>
      <c r="N24" s="2806"/>
      <c r="O24" s="2805">
        <v>1</v>
      </c>
      <c r="P24" s="2806">
        <v>1</v>
      </c>
      <c r="Q24" s="2805">
        <v>1</v>
      </c>
      <c r="R24" s="668">
        <f>'比较法-商业 (售价)'!C49</f>
        <v>35819</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'数据-汇总表'!F27</f>
        <v>611.12</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3</v>
      </c>
      <c r="Q25" s="21">
        <f>(SUMIF($17:$17,P25,$18:$18)-SUMIF($17:$17,$P$24,$18:$18)+100)/100</f>
        <v>0.6</v>
      </c>
      <c r="R25" s="663">
        <f>IF(B25="",0,ROUND($R$24*C25*E25*G25*I25*K25*M25*O25*Q25,0))</f>
        <v>21491</v>
      </c>
      <c r="S25" s="316">
        <f t="shared" si="11"/>
        <v>1313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zoomScale="80" zoomScaleNormal="70" zoomScaleSheetLayoutView="80" workbookViewId="0">
      <selection activeCell="M21" sqref="M2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3412</v>
      </c>
      <c r="E1" s="3420" t="s">
        <v>3425</v>
      </c>
      <c r="F1" s="1879" t="s">
        <v>3631</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2188.9706999999999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35819</v>
      </c>
      <c r="C3" s="354" t="s">
        <v>1665</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1666</v>
      </c>
      <c r="B4" s="356"/>
      <c r="C4" s="3700" t="s">
        <v>1667</v>
      </c>
      <c r="D4" s="3701"/>
      <c r="E4" s="3702" t="s">
        <v>1668</v>
      </c>
      <c r="F4" s="3703"/>
      <c r="G4" s="3700" t="s">
        <v>1669</v>
      </c>
      <c r="H4" s="3701"/>
      <c r="I4" s="3700" t="s">
        <v>1670</v>
      </c>
      <c r="J4" s="3701"/>
      <c r="K4" s="559" t="s">
        <v>1671</v>
      </c>
      <c r="L4" s="2710"/>
      <c r="M4" s="2711"/>
      <c r="N4" s="2711"/>
      <c r="O4" s="2711"/>
      <c r="P4" s="3704" t="s">
        <v>1672</v>
      </c>
      <c r="Q4" s="3705"/>
      <c r="R4" s="3691" t="s">
        <v>1668</v>
      </c>
      <c r="S4" s="3692"/>
      <c r="T4" s="3691" t="s">
        <v>1669</v>
      </c>
      <c r="U4" s="3692"/>
      <c r="V4" s="3686" t="s">
        <v>1670</v>
      </c>
      <c r="W4" s="3686"/>
      <c r="X4" s="3462"/>
      <c r="Y4" s="3691" t="s">
        <v>1672</v>
      </c>
      <c r="Z4" s="3692"/>
      <c r="AA4" s="3697" t="s">
        <v>1668</v>
      </c>
      <c r="AB4" s="3686" t="s">
        <v>1669</v>
      </c>
      <c r="AC4" s="3697" t="s">
        <v>1670</v>
      </c>
    </row>
    <row r="5" spans="1:29" ht="15">
      <c r="A5" s="358"/>
      <c r="B5" s="359"/>
      <c r="C5" s="3710" t="str">
        <f>租约!B11</f>
        <v>育慧西里</v>
      </c>
      <c r="D5" s="3711"/>
      <c r="E5" s="3712" t="str">
        <f>'案例-办公'!B2</f>
        <v>凯旋城</v>
      </c>
      <c r="F5" s="3713"/>
      <c r="G5" s="3714" t="str">
        <f>'案例-办公'!B3</f>
        <v>世奥国际中心</v>
      </c>
      <c r="H5" s="3711"/>
      <c r="I5" s="3710" t="str">
        <f>'案例-办公'!B4</f>
        <v>远大中心</v>
      </c>
      <c r="J5" s="3711"/>
      <c r="K5" s="559"/>
      <c r="L5" s="2710"/>
      <c r="M5" s="2711"/>
      <c r="N5" s="2711"/>
      <c r="O5" s="2711"/>
      <c r="P5" s="3706"/>
      <c r="Q5" s="3707"/>
      <c r="R5" s="3693"/>
      <c r="S5" s="3694"/>
      <c r="T5" s="3693"/>
      <c r="U5" s="3694"/>
      <c r="V5" s="3686"/>
      <c r="W5" s="3686"/>
      <c r="X5" s="3462"/>
      <c r="Y5" s="3693"/>
      <c r="Z5" s="3694"/>
      <c r="AA5" s="3698"/>
      <c r="AB5" s="3686"/>
      <c r="AC5" s="3698"/>
    </row>
    <row r="6" spans="1:29" ht="15.75" thickBot="1">
      <c r="A6" s="360"/>
      <c r="B6" s="361"/>
      <c r="C6" s="3715" t="s">
        <v>3567</v>
      </c>
      <c r="D6" s="3716"/>
      <c r="E6" s="3715" t="s">
        <v>3567</v>
      </c>
      <c r="F6" s="3716"/>
      <c r="G6" s="3715" t="s">
        <v>3567</v>
      </c>
      <c r="H6" s="3716"/>
      <c r="I6" s="3715" t="s">
        <v>3567</v>
      </c>
      <c r="J6" s="3716"/>
      <c r="K6" s="559" t="s">
        <v>1678</v>
      </c>
      <c r="L6" s="2710"/>
      <c r="M6" s="2711"/>
      <c r="N6" s="2711"/>
      <c r="O6" s="2711"/>
      <c r="P6" s="3708"/>
      <c r="Q6" s="3709"/>
      <c r="R6" s="3693"/>
      <c r="S6" s="3694"/>
      <c r="T6" s="3695"/>
      <c r="U6" s="3696"/>
      <c r="V6" s="3686"/>
      <c r="W6" s="3686"/>
      <c r="X6" s="3462"/>
      <c r="Y6" s="3695"/>
      <c r="Z6" s="3696"/>
      <c r="AA6" s="3699"/>
      <c r="AB6" s="3686"/>
      <c r="AC6" s="3699"/>
    </row>
    <row r="7" spans="1:29" s="108" customFormat="1" ht="15.7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687" t="s">
        <v>1680</v>
      </c>
      <c r="Q7" s="3688"/>
      <c r="R7" s="701" t="s">
        <v>14</v>
      </c>
      <c r="S7" s="702">
        <f t="shared" ref="S7:S15" si="0">F7</f>
        <v>100</v>
      </c>
      <c r="T7" s="701" t="s">
        <v>14</v>
      </c>
      <c r="U7" s="702">
        <f t="shared" ref="U7:U15" si="1">H7</f>
        <v>100</v>
      </c>
      <c r="V7" s="701" t="s">
        <v>14</v>
      </c>
      <c r="W7" s="702">
        <f t="shared" ref="W7:W15" si="2">J7</f>
        <v>100</v>
      </c>
      <c r="X7" s="703"/>
      <c r="Y7" s="3687" t="s">
        <v>1680</v>
      </c>
      <c r="Z7" s="3689"/>
      <c r="AA7" s="704">
        <f>D7/F7</f>
        <v>1</v>
      </c>
      <c r="AB7" s="704">
        <f>D7/H7</f>
        <v>1</v>
      </c>
      <c r="AC7" s="704">
        <f>D7/J7</f>
        <v>1</v>
      </c>
    </row>
    <row r="8" spans="1:29" s="108" customFormat="1" ht="15.75" thickBot="1">
      <c r="A8" s="362" t="s">
        <v>1681</v>
      </c>
      <c r="B8" s="363"/>
      <c r="C8" s="368" t="s">
        <v>3544</v>
      </c>
      <c r="D8" s="365">
        <v>100</v>
      </c>
      <c r="E8" s="368" t="s">
        <v>3633</v>
      </c>
      <c r="F8" s="367">
        <f>SUMIF(61:61,E8,62:62)-SUMIF(61:61,C8,62:62)+100</f>
        <v>105</v>
      </c>
      <c r="G8" s="368" t="s">
        <v>3633</v>
      </c>
      <c r="H8" s="365">
        <f>SUMIF(61:61,G8,62:62)-SUMIF(61:61,C8,62:62)+100</f>
        <v>105</v>
      </c>
      <c r="I8" s="368" t="s">
        <v>3633</v>
      </c>
      <c r="J8" s="365">
        <f>SUMIF(61:61,I8,62:62)-SUMIF(61:61,C8,62:62)+100</f>
        <v>105</v>
      </c>
      <c r="K8" s="560"/>
      <c r="L8" s="2712"/>
      <c r="M8" s="2713"/>
      <c r="N8" s="2713"/>
      <c r="O8" s="2713"/>
      <c r="P8" s="3687" t="s">
        <v>1683</v>
      </c>
      <c r="Q8" s="3689"/>
      <c r="R8" s="701" t="s">
        <v>14</v>
      </c>
      <c r="S8" s="702">
        <f t="shared" si="0"/>
        <v>105</v>
      </c>
      <c r="T8" s="701" t="s">
        <v>14</v>
      </c>
      <c r="U8" s="702">
        <f t="shared" si="1"/>
        <v>105</v>
      </c>
      <c r="V8" s="701" t="s">
        <v>14</v>
      </c>
      <c r="W8" s="702">
        <f t="shared" si="2"/>
        <v>105</v>
      </c>
      <c r="X8" s="703"/>
      <c r="Y8" s="3687" t="s">
        <v>1683</v>
      </c>
      <c r="Z8" s="3689"/>
      <c r="AA8" s="704">
        <f t="shared" ref="AA8:AA46" si="3">D8/F8</f>
        <v>0.95238095238095233</v>
      </c>
      <c r="AB8" s="704">
        <f t="shared" ref="AB8:AB46" si="4">D8/H8</f>
        <v>0.95238095238095233</v>
      </c>
      <c r="AC8" s="704">
        <f t="shared" ref="AC8:AC46" si="5">D8/J8</f>
        <v>0.95238095238095233</v>
      </c>
    </row>
    <row r="9" spans="1:29" s="108" customFormat="1" ht="15">
      <c r="A9" s="369" t="s">
        <v>1684</v>
      </c>
      <c r="B9" s="63" t="s">
        <v>1685</v>
      </c>
      <c r="C9" s="3467" t="s">
        <v>3568</v>
      </c>
      <c r="D9" s="126">
        <v>100</v>
      </c>
      <c r="E9" s="371" t="s">
        <v>21</v>
      </c>
      <c r="F9" s="372">
        <f>SUMIF(63:63,E9,64:64)-SUMIF(63:63,C9,64:64)+100</f>
        <v>95</v>
      </c>
      <c r="G9" s="371" t="s">
        <v>21</v>
      </c>
      <c r="H9" s="126">
        <f>SUMIF(63:63,G9,64:64)-SUMIF(63:63,C9,64:64)+100</f>
        <v>95</v>
      </c>
      <c r="I9" s="371" t="s">
        <v>21</v>
      </c>
      <c r="J9" s="126">
        <f>SUMIF(63:63,I9,64:64)-SUMIF(63:63,C9,64:64)+100</f>
        <v>95</v>
      </c>
      <c r="K9" s="560"/>
      <c r="L9" s="2712"/>
      <c r="M9" s="2713"/>
      <c r="N9" s="2713"/>
      <c r="O9" s="2713"/>
      <c r="P9" s="3690" t="s">
        <v>1686</v>
      </c>
      <c r="Q9" s="3458" t="str">
        <f t="shared" ref="Q9:Q15" si="6">B9</f>
        <v>用途</v>
      </c>
      <c r="R9" s="701" t="s">
        <v>14</v>
      </c>
      <c r="S9" s="702">
        <f t="shared" si="0"/>
        <v>95</v>
      </c>
      <c r="T9" s="701" t="s">
        <v>14</v>
      </c>
      <c r="U9" s="702">
        <f t="shared" si="1"/>
        <v>95</v>
      </c>
      <c r="V9" s="701" t="s">
        <v>14</v>
      </c>
      <c r="W9" s="702">
        <f t="shared" si="2"/>
        <v>95</v>
      </c>
      <c r="X9" s="703"/>
      <c r="Y9" s="3570" t="s">
        <v>1687</v>
      </c>
      <c r="Z9" s="3457" t="str">
        <f t="shared" ref="Z9:Z15" si="7">Q9</f>
        <v>用途</v>
      </c>
      <c r="AA9" s="704">
        <f t="shared" si="3"/>
        <v>1.0526315789473684</v>
      </c>
      <c r="AB9" s="704">
        <f t="shared" si="4"/>
        <v>1.0526315789473684</v>
      </c>
      <c r="AC9" s="704">
        <f t="shared" si="5"/>
        <v>1.0526315789473684</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690"/>
      <c r="Q10" s="3458" t="str">
        <f t="shared" si="6"/>
        <v>土地使用年限（年）</v>
      </c>
      <c r="R10" s="701" t="s">
        <v>14</v>
      </c>
      <c r="S10" s="702">
        <f t="shared" si="0"/>
        <v>100</v>
      </c>
      <c r="T10" s="701" t="s">
        <v>14</v>
      </c>
      <c r="U10" s="702">
        <f t="shared" si="1"/>
        <v>100</v>
      </c>
      <c r="V10" s="701" t="s">
        <v>14</v>
      </c>
      <c r="W10" s="702">
        <f t="shared" si="2"/>
        <v>100</v>
      </c>
      <c r="X10" s="703"/>
      <c r="Y10" s="3570"/>
      <c r="Z10" s="3457"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0"/>
      <c r="Q11" s="3458" t="str">
        <f t="shared" si="6"/>
        <v>容积率</v>
      </c>
      <c r="R11" s="701" t="s">
        <v>14</v>
      </c>
      <c r="S11" s="702">
        <f t="shared" si="0"/>
        <v>100</v>
      </c>
      <c r="T11" s="701" t="s">
        <v>14</v>
      </c>
      <c r="U11" s="702">
        <f t="shared" si="1"/>
        <v>100</v>
      </c>
      <c r="V11" s="701" t="s">
        <v>14</v>
      </c>
      <c r="W11" s="702">
        <f t="shared" si="2"/>
        <v>100</v>
      </c>
      <c r="X11" s="703"/>
      <c r="Y11" s="3570"/>
      <c r="Z11" s="3457"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0"/>
      <c r="Q12" s="3458">
        <f t="shared" si="6"/>
        <v>111</v>
      </c>
      <c r="R12" s="701" t="s">
        <v>14</v>
      </c>
      <c r="S12" s="702">
        <f t="shared" si="0"/>
        <v>100</v>
      </c>
      <c r="T12" s="701" t="s">
        <v>14</v>
      </c>
      <c r="U12" s="702">
        <f t="shared" si="1"/>
        <v>100</v>
      </c>
      <c r="V12" s="701" t="s">
        <v>14</v>
      </c>
      <c r="W12" s="702">
        <f t="shared" si="2"/>
        <v>100</v>
      </c>
      <c r="X12" s="703"/>
      <c r="Y12" s="3570"/>
      <c r="Z12" s="345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0"/>
      <c r="Q13" s="3458">
        <f t="shared" si="6"/>
        <v>111</v>
      </c>
      <c r="R13" s="701" t="s">
        <v>14</v>
      </c>
      <c r="S13" s="702">
        <f t="shared" si="0"/>
        <v>100</v>
      </c>
      <c r="T13" s="701" t="s">
        <v>14</v>
      </c>
      <c r="U13" s="702">
        <f t="shared" si="1"/>
        <v>100</v>
      </c>
      <c r="V13" s="701" t="s">
        <v>14</v>
      </c>
      <c r="W13" s="702">
        <f t="shared" si="2"/>
        <v>100</v>
      </c>
      <c r="X13" s="703"/>
      <c r="Y13" s="3570"/>
      <c r="Z13" s="3457">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0"/>
      <c r="Q14" s="3458">
        <f t="shared" si="6"/>
        <v>111</v>
      </c>
      <c r="R14" s="701" t="s">
        <v>14</v>
      </c>
      <c r="S14" s="702">
        <f t="shared" si="0"/>
        <v>100</v>
      </c>
      <c r="T14" s="701" t="s">
        <v>14</v>
      </c>
      <c r="U14" s="702">
        <f t="shared" si="1"/>
        <v>100</v>
      </c>
      <c r="V14" s="701" t="s">
        <v>14</v>
      </c>
      <c r="W14" s="702">
        <f t="shared" si="2"/>
        <v>100</v>
      </c>
      <c r="X14" s="703"/>
      <c r="Y14" s="3570"/>
      <c r="Z14" s="3457">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v>2</v>
      </c>
      <c r="L15" s="2717"/>
      <c r="M15" s="2711"/>
      <c r="N15" s="2711"/>
      <c r="O15" s="2711"/>
      <c r="P15" s="3677" t="s">
        <v>1691</v>
      </c>
      <c r="Q15" s="3460" t="str">
        <f t="shared" si="6"/>
        <v>商业繁华度</v>
      </c>
      <c r="R15" s="705" t="s">
        <v>14</v>
      </c>
      <c r="S15" s="706">
        <f t="shared" si="0"/>
        <v>100</v>
      </c>
      <c r="T15" s="705" t="s">
        <v>14</v>
      </c>
      <c r="U15" s="706">
        <f t="shared" si="1"/>
        <v>100</v>
      </c>
      <c r="V15" s="705" t="s">
        <v>14</v>
      </c>
      <c r="W15" s="706">
        <f t="shared" si="2"/>
        <v>100</v>
      </c>
      <c r="X15" s="3462"/>
      <c r="Y15" s="3679" t="s">
        <v>1691</v>
      </c>
      <c r="Z15" s="3463" t="str">
        <f t="shared" si="7"/>
        <v>商业繁华度</v>
      </c>
      <c r="AA15" s="3461">
        <f t="shared" si="3"/>
        <v>1</v>
      </c>
      <c r="AB15" s="3461">
        <f t="shared" si="4"/>
        <v>1</v>
      </c>
      <c r="AC15" s="3461">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678"/>
      <c r="Q16" s="3460"/>
      <c r="R16" s="705"/>
      <c r="S16" s="706"/>
      <c r="T16" s="705"/>
      <c r="U16" s="706"/>
      <c r="V16" s="705"/>
      <c r="W16" s="706"/>
      <c r="X16" s="3462"/>
      <c r="Y16" s="3680"/>
      <c r="Z16" s="3463"/>
      <c r="AA16" s="3461">
        <v>1</v>
      </c>
      <c r="AB16" s="3461">
        <v>1</v>
      </c>
      <c r="AC16" s="3461">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v>2</v>
      </c>
      <c r="L17" s="2717"/>
      <c r="M17" s="2711"/>
      <c r="N17" s="2711"/>
      <c r="O17" s="2711"/>
      <c r="P17" s="3678"/>
      <c r="Q17" s="3460" t="str">
        <f>B17</f>
        <v>交通便捷度</v>
      </c>
      <c r="R17" s="705" t="s">
        <v>14</v>
      </c>
      <c r="S17" s="706">
        <f>F17</f>
        <v>100</v>
      </c>
      <c r="T17" s="705" t="s">
        <v>14</v>
      </c>
      <c r="U17" s="706">
        <f>H17</f>
        <v>100</v>
      </c>
      <c r="V17" s="705" t="s">
        <v>14</v>
      </c>
      <c r="W17" s="706">
        <f>J17</f>
        <v>100</v>
      </c>
      <c r="X17" s="3462"/>
      <c r="Y17" s="3680"/>
      <c r="Z17" s="3463" t="str">
        <f>Q17</f>
        <v>交通便捷度</v>
      </c>
      <c r="AA17" s="3461">
        <f t="shared" si="3"/>
        <v>1</v>
      </c>
      <c r="AB17" s="3461">
        <f t="shared" si="4"/>
        <v>1</v>
      </c>
      <c r="AC17" s="3461">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678"/>
      <c r="Q18" s="3460"/>
      <c r="R18" s="705"/>
      <c r="S18" s="706"/>
      <c r="T18" s="705"/>
      <c r="U18" s="706"/>
      <c r="V18" s="705"/>
      <c r="W18" s="706"/>
      <c r="X18" s="3462"/>
      <c r="Y18" s="3680"/>
      <c r="Z18" s="3463"/>
      <c r="AA18" s="3461">
        <v>1</v>
      </c>
      <c r="AB18" s="3461">
        <v>1</v>
      </c>
      <c r="AC18" s="3461">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v>2</v>
      </c>
      <c r="L19" s="2717"/>
      <c r="M19" s="2711"/>
      <c r="N19" s="2711"/>
      <c r="O19" s="2711"/>
      <c r="P19" s="3678"/>
      <c r="Q19" s="3460" t="str">
        <f>B19</f>
        <v>公共配套设施</v>
      </c>
      <c r="R19" s="705" t="s">
        <v>14</v>
      </c>
      <c r="S19" s="706">
        <f>F19</f>
        <v>100</v>
      </c>
      <c r="T19" s="705" t="s">
        <v>14</v>
      </c>
      <c r="U19" s="706">
        <f>H19</f>
        <v>100</v>
      </c>
      <c r="V19" s="705" t="s">
        <v>14</v>
      </c>
      <c r="W19" s="706">
        <f>J19</f>
        <v>100</v>
      </c>
      <c r="X19" s="3462"/>
      <c r="Y19" s="3680"/>
      <c r="Z19" s="3463" t="str">
        <f>Q19</f>
        <v>公共配套设施</v>
      </c>
      <c r="AA19" s="3461">
        <f t="shared" si="3"/>
        <v>1</v>
      </c>
      <c r="AB19" s="3461">
        <f t="shared" si="4"/>
        <v>1</v>
      </c>
      <c r="AC19" s="3461">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678"/>
      <c r="Q20" s="3460"/>
      <c r="R20" s="705"/>
      <c r="S20" s="706"/>
      <c r="T20" s="705"/>
      <c r="U20" s="706"/>
      <c r="V20" s="705"/>
      <c r="W20" s="706"/>
      <c r="X20" s="3462"/>
      <c r="Y20" s="3680"/>
      <c r="Z20" s="3463"/>
      <c r="AA20" s="3461">
        <v>1</v>
      </c>
      <c r="AB20" s="3461">
        <v>1</v>
      </c>
      <c r="AC20" s="3461">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v>1</v>
      </c>
      <c r="L21" s="2717"/>
      <c r="M21" s="2711"/>
      <c r="N21" s="2711"/>
      <c r="O21" s="2711"/>
      <c r="P21" s="3678"/>
      <c r="Q21" s="3460" t="str">
        <f>B21</f>
        <v>基础设施水平</v>
      </c>
      <c r="R21" s="705" t="s">
        <v>14</v>
      </c>
      <c r="S21" s="706">
        <f>F21</f>
        <v>100</v>
      </c>
      <c r="T21" s="705" t="s">
        <v>14</v>
      </c>
      <c r="U21" s="706">
        <f>H21</f>
        <v>100</v>
      </c>
      <c r="V21" s="705" t="s">
        <v>14</v>
      </c>
      <c r="W21" s="706">
        <f>J21</f>
        <v>100</v>
      </c>
      <c r="X21" s="3462"/>
      <c r="Y21" s="3680"/>
      <c r="Z21" s="3463" t="str">
        <f>Q21</f>
        <v>基础设施水平</v>
      </c>
      <c r="AA21" s="3461">
        <f t="shared" ref="AA21" si="8">D21/F21</f>
        <v>1</v>
      </c>
      <c r="AB21" s="3461">
        <f t="shared" ref="AB21" si="9">D21/H21</f>
        <v>1</v>
      </c>
      <c r="AC21" s="3461">
        <f t="shared" ref="AC21" si="10">D21/J21</f>
        <v>1</v>
      </c>
    </row>
    <row r="22" spans="1:29" ht="15">
      <c r="A22" s="379"/>
      <c r="B22" s="1131"/>
      <c r="C22" s="1901" t="s">
        <v>3430</v>
      </c>
      <c r="D22" s="399"/>
      <c r="E22" s="398" t="s">
        <v>3430</v>
      </c>
      <c r="F22" s="400"/>
      <c r="G22" s="398" t="s">
        <v>3430</v>
      </c>
      <c r="H22" s="399"/>
      <c r="I22" s="398" t="s">
        <v>3430</v>
      </c>
      <c r="J22" s="399"/>
      <c r="K22" s="1130"/>
      <c r="L22" s="2717"/>
      <c r="M22" s="2711"/>
      <c r="N22" s="2711"/>
      <c r="O22" s="2711"/>
      <c r="P22" s="3678"/>
      <c r="Q22" s="3460"/>
      <c r="R22" s="705"/>
      <c r="S22" s="706"/>
      <c r="T22" s="705"/>
      <c r="U22" s="706"/>
      <c r="V22" s="705"/>
      <c r="W22" s="706"/>
      <c r="X22" s="3462"/>
      <c r="Y22" s="3680"/>
      <c r="Z22" s="3463"/>
      <c r="AA22" s="3461">
        <v>1</v>
      </c>
      <c r="AB22" s="3461">
        <v>1</v>
      </c>
      <c r="AC22" s="3461">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v>2</v>
      </c>
      <c r="L23" s="2717"/>
      <c r="M23" s="2711"/>
      <c r="N23" s="2711"/>
      <c r="O23" s="2711"/>
      <c r="P23" s="3678"/>
      <c r="Q23" s="3460" t="str">
        <f>B23</f>
        <v>自然及人文环境</v>
      </c>
      <c r="R23" s="705" t="s">
        <v>14</v>
      </c>
      <c r="S23" s="706">
        <f>F23</f>
        <v>100</v>
      </c>
      <c r="T23" s="705" t="s">
        <v>14</v>
      </c>
      <c r="U23" s="706">
        <f>H23</f>
        <v>100</v>
      </c>
      <c r="V23" s="705" t="s">
        <v>14</v>
      </c>
      <c r="W23" s="706">
        <f>J23</f>
        <v>100</v>
      </c>
      <c r="X23" s="3462"/>
      <c r="Y23" s="3680"/>
      <c r="Z23" s="3463" t="str">
        <f>Q23</f>
        <v>自然及人文环境</v>
      </c>
      <c r="AA23" s="3461">
        <f t="shared" si="3"/>
        <v>1</v>
      </c>
      <c r="AB23" s="3461">
        <f t="shared" si="4"/>
        <v>1</v>
      </c>
      <c r="AC23" s="3461">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678"/>
      <c r="Q24" s="3460"/>
      <c r="R24" s="705"/>
      <c r="S24" s="706"/>
      <c r="T24" s="705"/>
      <c r="U24" s="706"/>
      <c r="V24" s="705"/>
      <c r="W24" s="706"/>
      <c r="X24" s="3462"/>
      <c r="Y24" s="3680"/>
      <c r="Z24" s="3463"/>
      <c r="AA24" s="3461">
        <v>1</v>
      </c>
      <c r="AB24" s="3461">
        <v>1</v>
      </c>
      <c r="AC24" s="346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17"/>
      <c r="M25" s="2711"/>
      <c r="N25" s="2711"/>
      <c r="O25" s="2711"/>
      <c r="P25" s="3678"/>
      <c r="Q25" s="3460" t="str">
        <f t="shared" ref="Q25:Q46" si="11">B25</f>
        <v>临街状况</v>
      </c>
      <c r="R25" s="705" t="s">
        <v>14</v>
      </c>
      <c r="S25" s="706">
        <f>F25</f>
        <v>100</v>
      </c>
      <c r="T25" s="705" t="s">
        <v>14</v>
      </c>
      <c r="U25" s="706">
        <f>H25</f>
        <v>100</v>
      </c>
      <c r="V25" s="705" t="s">
        <v>14</v>
      </c>
      <c r="W25" s="706">
        <f>J25</f>
        <v>100</v>
      </c>
      <c r="X25" s="3462"/>
      <c r="Y25" s="3680"/>
      <c r="Z25" s="3463" t="str">
        <f>Q25</f>
        <v>临街状况</v>
      </c>
      <c r="AA25" s="3461">
        <f t="shared" si="3"/>
        <v>1</v>
      </c>
      <c r="AB25" s="3461">
        <f t="shared" si="4"/>
        <v>1</v>
      </c>
      <c r="AC25" s="3461">
        <f t="shared" si="5"/>
        <v>1</v>
      </c>
    </row>
    <row r="26" spans="1:29" ht="15">
      <c r="A26" s="379"/>
      <c r="B26" s="1133" t="s">
        <v>1781</v>
      </c>
      <c r="C26" s="3473"/>
      <c r="D26" s="386">
        <v>100</v>
      </c>
      <c r="E26" s="3473"/>
      <c r="F26" s="412">
        <f>SUMIF(88:88,E26,89:89)-SUMIF(88:88,C26,89:89)+100</f>
        <v>100</v>
      </c>
      <c r="G26" s="3473"/>
      <c r="H26" s="386">
        <f>SUMIF(88:88,G26,89:89)-SUMIF(88:88,C26,89:89)+100</f>
        <v>100</v>
      </c>
      <c r="I26" s="3473"/>
      <c r="J26" s="386">
        <f>SUMIF(88:88,I26,89:89)-SUMIF(88:88,C26,89:89)+100</f>
        <v>100</v>
      </c>
      <c r="K26" s="562"/>
      <c r="L26" s="2717"/>
      <c r="M26" s="2711"/>
      <c r="N26" s="2711"/>
      <c r="O26" s="2711"/>
      <c r="P26" s="3678"/>
      <c r="Q26" s="3460" t="str">
        <f t="shared" si="11"/>
        <v>平面位置/可视性</v>
      </c>
      <c r="R26" s="705" t="s">
        <v>14</v>
      </c>
      <c r="S26" s="706">
        <f>F26</f>
        <v>100</v>
      </c>
      <c r="T26" s="705" t="s">
        <v>14</v>
      </c>
      <c r="U26" s="706">
        <f>H26</f>
        <v>100</v>
      </c>
      <c r="V26" s="705" t="s">
        <v>14</v>
      </c>
      <c r="W26" s="706">
        <f>J26</f>
        <v>100</v>
      </c>
      <c r="X26" s="3462"/>
      <c r="Y26" s="3680"/>
      <c r="Z26" s="3463" t="str">
        <f>Q26</f>
        <v>平面位置/可视性</v>
      </c>
      <c r="AA26" s="3461">
        <f t="shared" si="3"/>
        <v>1</v>
      </c>
      <c r="AB26" s="3461">
        <f t="shared" si="4"/>
        <v>1</v>
      </c>
      <c r="AC26" s="3461">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v>2</v>
      </c>
      <c r="L27" s="2712"/>
      <c r="M27" s="2713"/>
      <c r="N27" s="2713"/>
      <c r="O27" s="2713"/>
      <c r="P27" s="3678"/>
      <c r="Q27" s="3458" t="str">
        <f t="shared" si="11"/>
        <v>人流量</v>
      </c>
      <c r="R27" s="701" t="s">
        <v>14</v>
      </c>
      <c r="S27" s="702">
        <f>F27</f>
        <v>100</v>
      </c>
      <c r="T27" s="701" t="s">
        <v>14</v>
      </c>
      <c r="U27" s="702">
        <f>H27</f>
        <v>100</v>
      </c>
      <c r="V27" s="701" t="s">
        <v>14</v>
      </c>
      <c r="W27" s="702">
        <f>J27</f>
        <v>100</v>
      </c>
      <c r="X27" s="703"/>
      <c r="Y27" s="3680"/>
      <c r="Z27" s="3457" t="str">
        <f>Q27</f>
        <v>人流量</v>
      </c>
      <c r="AA27" s="3461">
        <f>D27/F27</f>
        <v>1</v>
      </c>
      <c r="AB27" s="3461">
        <f>D27/H27</f>
        <v>1</v>
      </c>
      <c r="AC27" s="3461">
        <f>D27/J27</f>
        <v>1</v>
      </c>
    </row>
    <row r="28" spans="1:29" ht="15.75" thickBot="1">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78"/>
      <c r="Q28" s="3460" t="str">
        <f t="shared" si="11"/>
        <v>楼层</v>
      </c>
      <c r="R28" s="705" t="s">
        <v>14</v>
      </c>
      <c r="S28" s="706">
        <f t="shared" ref="S28:S46" si="12">F28</f>
        <v>100</v>
      </c>
      <c r="T28" s="705" t="s">
        <v>14</v>
      </c>
      <c r="U28" s="706">
        <f t="shared" ref="U28:U46" si="13">H28</f>
        <v>100</v>
      </c>
      <c r="V28" s="705" t="s">
        <v>14</v>
      </c>
      <c r="W28" s="706">
        <f t="shared" ref="W28:W46" si="14">J28</f>
        <v>100</v>
      </c>
      <c r="X28" s="3462"/>
      <c r="Y28" s="3680"/>
      <c r="Z28" s="3463" t="str">
        <f t="shared" ref="Z28:Z46" si="15">Q28</f>
        <v>楼层</v>
      </c>
      <c r="AA28" s="3461">
        <f t="shared" si="3"/>
        <v>1</v>
      </c>
      <c r="AB28" s="3461">
        <f t="shared" si="4"/>
        <v>1</v>
      </c>
      <c r="AC28" s="3461">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78"/>
      <c r="Q29" s="3460">
        <f t="shared" si="11"/>
        <v>111</v>
      </c>
      <c r="R29" s="705" t="s">
        <v>14</v>
      </c>
      <c r="S29" s="706">
        <f t="shared" si="12"/>
        <v>100</v>
      </c>
      <c r="T29" s="705" t="s">
        <v>14</v>
      </c>
      <c r="U29" s="706">
        <f t="shared" si="13"/>
        <v>100</v>
      </c>
      <c r="V29" s="705" t="s">
        <v>14</v>
      </c>
      <c r="W29" s="706">
        <f t="shared" si="14"/>
        <v>100</v>
      </c>
      <c r="X29" s="3462"/>
      <c r="Y29" s="3680"/>
      <c r="Z29" s="3463">
        <f t="shared" si="15"/>
        <v>111</v>
      </c>
      <c r="AA29" s="3461">
        <f t="shared" si="3"/>
        <v>1</v>
      </c>
      <c r="AB29" s="3461">
        <f t="shared" si="4"/>
        <v>1</v>
      </c>
      <c r="AC29" s="3461">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78"/>
      <c r="Q30" s="3460">
        <f t="shared" si="11"/>
        <v>111</v>
      </c>
      <c r="R30" s="705" t="s">
        <v>14</v>
      </c>
      <c r="S30" s="706">
        <f t="shared" si="12"/>
        <v>100</v>
      </c>
      <c r="T30" s="705" t="s">
        <v>14</v>
      </c>
      <c r="U30" s="706">
        <f t="shared" si="13"/>
        <v>100</v>
      </c>
      <c r="V30" s="705" t="s">
        <v>14</v>
      </c>
      <c r="W30" s="706">
        <f t="shared" si="14"/>
        <v>100</v>
      </c>
      <c r="X30" s="3462"/>
      <c r="Y30" s="3680"/>
      <c r="Z30" s="3463">
        <f t="shared" si="15"/>
        <v>111</v>
      </c>
      <c r="AA30" s="3461">
        <f t="shared" si="3"/>
        <v>1</v>
      </c>
      <c r="AB30" s="3461">
        <f t="shared" si="4"/>
        <v>1</v>
      </c>
      <c r="AC30" s="3461">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78"/>
      <c r="Q31" s="3460">
        <f t="shared" si="11"/>
        <v>111</v>
      </c>
      <c r="R31" s="705" t="s">
        <v>14</v>
      </c>
      <c r="S31" s="706">
        <f t="shared" si="12"/>
        <v>100</v>
      </c>
      <c r="T31" s="705" t="s">
        <v>14</v>
      </c>
      <c r="U31" s="706">
        <f t="shared" si="13"/>
        <v>100</v>
      </c>
      <c r="V31" s="705" t="s">
        <v>14</v>
      </c>
      <c r="W31" s="706">
        <f t="shared" si="14"/>
        <v>100</v>
      </c>
      <c r="X31" s="3462"/>
      <c r="Y31" s="3680"/>
      <c r="Z31" s="3463">
        <f t="shared" si="15"/>
        <v>111</v>
      </c>
      <c r="AA31" s="3461">
        <f t="shared" si="3"/>
        <v>1</v>
      </c>
      <c r="AB31" s="3461">
        <f t="shared" si="4"/>
        <v>1</v>
      </c>
      <c r="AC31" s="3461">
        <f t="shared" si="5"/>
        <v>1</v>
      </c>
    </row>
    <row r="32" spans="1:29" ht="15">
      <c r="A32" s="391" t="s">
        <v>1694</v>
      </c>
      <c r="B32" s="63" t="s">
        <v>1784</v>
      </c>
      <c r="C32" s="1910"/>
      <c r="D32" s="418">
        <v>100</v>
      </c>
      <c r="E32" s="3822"/>
      <c r="F32" s="412">
        <f>SUMIF(100:100,E32,101:101)-SUMIF(100:100,C32,101:101)+100</f>
        <v>100</v>
      </c>
      <c r="G32" s="3822"/>
      <c r="H32" s="386">
        <f>SUMIF(100:100,G32,101:101)-SUMIF(100:100,C32,101:101)+100</f>
        <v>100</v>
      </c>
      <c r="I32" s="3822"/>
      <c r="J32" s="418">
        <f>SUMIF(100:100,I32,101:101)-SUMIF(100:100,C32,101:101)+100</f>
        <v>100</v>
      </c>
      <c r="K32" s="561">
        <v>5</v>
      </c>
      <c r="L32" s="2717"/>
      <c r="M32" s="2711"/>
      <c r="N32" s="2711"/>
      <c r="O32" s="2711"/>
      <c r="P32" s="3681" t="s">
        <v>1696</v>
      </c>
      <c r="Q32" s="3460" t="str">
        <f t="shared" si="11"/>
        <v>商业类型</v>
      </c>
      <c r="R32" s="705" t="s">
        <v>14</v>
      </c>
      <c r="S32" s="706">
        <f t="shared" si="12"/>
        <v>100</v>
      </c>
      <c r="T32" s="705" t="s">
        <v>14</v>
      </c>
      <c r="U32" s="706">
        <f t="shared" si="13"/>
        <v>100</v>
      </c>
      <c r="V32" s="705" t="s">
        <v>14</v>
      </c>
      <c r="W32" s="706">
        <f t="shared" si="14"/>
        <v>100</v>
      </c>
      <c r="X32" s="3462"/>
      <c r="Y32" s="3684" t="s">
        <v>1696</v>
      </c>
      <c r="Z32" s="3463" t="str">
        <f t="shared" si="15"/>
        <v>商业类型</v>
      </c>
      <c r="AA32" s="3461">
        <f t="shared" si="3"/>
        <v>1</v>
      </c>
      <c r="AB32" s="3461">
        <f t="shared" si="4"/>
        <v>1</v>
      </c>
      <c r="AC32" s="3461">
        <f t="shared" si="5"/>
        <v>1</v>
      </c>
    </row>
    <row r="33" spans="1:29" s="422" customFormat="1" ht="15">
      <c r="A33" s="419"/>
      <c r="B33" s="375" t="s">
        <v>1697</v>
      </c>
      <c r="C33" s="420">
        <f>'数据-汇总表'!E3</f>
        <v>611.12</v>
      </c>
      <c r="D33" s="127">
        <v>100</v>
      </c>
      <c r="E33" s="381">
        <f>'案例-办公'!D2</f>
        <v>82.75</v>
      </c>
      <c r="F33" s="376">
        <f>LOOKUP(E33,103:103,104:104)-LOOKUP(C33,103:103,104:104)+100</f>
        <v>106</v>
      </c>
      <c r="G33" s="380">
        <f>'案例-办公'!D3</f>
        <v>60.89</v>
      </c>
      <c r="H33" s="127">
        <f>LOOKUP(G33,103:103,104:104)-LOOKUP(C33,103:103,104:104)+100</f>
        <v>106</v>
      </c>
      <c r="I33" s="380">
        <f>'案例-办公'!D4</f>
        <v>205.78</v>
      </c>
      <c r="J33" s="127">
        <f>LOOKUP(I33,103:103,104:104)-LOOKUP(C33,103:103,104:104)+100</f>
        <v>104</v>
      </c>
      <c r="K33" s="562"/>
      <c r="L33" s="2716"/>
      <c r="M33" s="2718"/>
      <c r="N33" s="2718"/>
      <c r="O33" s="2718"/>
      <c r="P33" s="3682"/>
      <c r="Q33" s="707" t="str">
        <f t="shared" si="11"/>
        <v>项目建筑规模</v>
      </c>
      <c r="R33" s="708" t="s">
        <v>14</v>
      </c>
      <c r="S33" s="709">
        <f t="shared" si="12"/>
        <v>106</v>
      </c>
      <c r="T33" s="708" t="s">
        <v>14</v>
      </c>
      <c r="U33" s="709">
        <f t="shared" si="13"/>
        <v>106</v>
      </c>
      <c r="V33" s="708" t="s">
        <v>14</v>
      </c>
      <c r="W33" s="709">
        <f t="shared" si="14"/>
        <v>104</v>
      </c>
      <c r="X33" s="710"/>
      <c r="Y33" s="3684"/>
      <c r="Z33" s="711" t="str">
        <f t="shared" si="15"/>
        <v>项目建筑规模</v>
      </c>
      <c r="AA33" s="3461">
        <f t="shared" si="3"/>
        <v>0.94339622641509435</v>
      </c>
      <c r="AB33" s="3461">
        <f t="shared" si="4"/>
        <v>0.94339622641509435</v>
      </c>
      <c r="AC33" s="3461">
        <f t="shared" si="5"/>
        <v>0.96153846153846156</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1"/>
      <c r="L34" s="2717"/>
      <c r="M34" s="2711"/>
      <c r="N34" s="2711"/>
      <c r="O34" s="2711"/>
      <c r="P34" s="3682"/>
      <c r="Q34" s="3460" t="str">
        <f t="shared" si="11"/>
        <v>建筑结构</v>
      </c>
      <c r="R34" s="705" t="s">
        <v>14</v>
      </c>
      <c r="S34" s="706">
        <f t="shared" si="12"/>
        <v>100</v>
      </c>
      <c r="T34" s="705" t="s">
        <v>14</v>
      </c>
      <c r="U34" s="706">
        <f t="shared" si="13"/>
        <v>100</v>
      </c>
      <c r="V34" s="705" t="s">
        <v>14</v>
      </c>
      <c r="W34" s="706">
        <f t="shared" si="14"/>
        <v>100</v>
      </c>
      <c r="X34" s="3462"/>
      <c r="Y34" s="3684"/>
      <c r="Z34" s="3463" t="str">
        <f t="shared" si="15"/>
        <v>建筑结构</v>
      </c>
      <c r="AA34" s="3461">
        <f t="shared" si="3"/>
        <v>1</v>
      </c>
      <c r="AB34" s="3461">
        <f t="shared" si="4"/>
        <v>1</v>
      </c>
      <c r="AC34" s="3461">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682"/>
      <c r="Q35" s="3460" t="str">
        <f t="shared" si="11"/>
        <v>公共部分装修</v>
      </c>
      <c r="R35" s="705" t="s">
        <v>14</v>
      </c>
      <c r="S35" s="706">
        <f t="shared" si="12"/>
        <v>100</v>
      </c>
      <c r="T35" s="705" t="s">
        <v>14</v>
      </c>
      <c r="U35" s="706">
        <f t="shared" si="13"/>
        <v>100</v>
      </c>
      <c r="V35" s="705" t="s">
        <v>14</v>
      </c>
      <c r="W35" s="706">
        <f t="shared" si="14"/>
        <v>100</v>
      </c>
      <c r="X35" s="3462"/>
      <c r="Y35" s="3684"/>
      <c r="Z35" s="3463" t="str">
        <f t="shared" si="15"/>
        <v>公共部分装修</v>
      </c>
      <c r="AA35" s="3461">
        <f t="shared" si="3"/>
        <v>1</v>
      </c>
      <c r="AB35" s="3461">
        <f t="shared" si="4"/>
        <v>1</v>
      </c>
      <c r="AC35" s="3461">
        <f t="shared" si="5"/>
        <v>1</v>
      </c>
    </row>
    <row r="36" spans="1:29" ht="15">
      <c r="A36" s="423"/>
      <c r="B36" s="375" t="s">
        <v>1786</v>
      </c>
      <c r="C36" s="425">
        <f>'数据-取费表'!N6</f>
        <v>0.7</v>
      </c>
      <c r="D36" s="386">
        <v>100</v>
      </c>
      <c r="E36" s="425">
        <v>0.8</v>
      </c>
      <c r="F36" s="412">
        <f>LOOKUP(E36,110:110,111:111)-LOOKUP(C36,110:110,111:111)+100</f>
        <v>102</v>
      </c>
      <c r="G36" s="425">
        <v>0.8</v>
      </c>
      <c r="H36" s="412">
        <f>LOOKUP(G36,110:110,111:111)-LOOKUP(C36,110:110,111:111)+100</f>
        <v>102</v>
      </c>
      <c r="I36" s="425">
        <v>0.8</v>
      </c>
      <c r="J36" s="386">
        <f>LOOKUP(I36,110:110,111:111)-LOOKUP(C36,110:110,111:111)+100</f>
        <v>102</v>
      </c>
      <c r="K36" s="561">
        <v>2</v>
      </c>
      <c r="L36" s="2717"/>
      <c r="M36" s="2711"/>
      <c r="N36" s="2711"/>
      <c r="O36" s="2711"/>
      <c r="P36" s="3682"/>
      <c r="Q36" s="3460" t="str">
        <f t="shared" si="11"/>
        <v>成新度</v>
      </c>
      <c r="R36" s="705" t="s">
        <v>14</v>
      </c>
      <c r="S36" s="706">
        <f t="shared" si="12"/>
        <v>102</v>
      </c>
      <c r="T36" s="705" t="s">
        <v>14</v>
      </c>
      <c r="U36" s="706">
        <f t="shared" si="13"/>
        <v>102</v>
      </c>
      <c r="V36" s="705" t="s">
        <v>14</v>
      </c>
      <c r="W36" s="706">
        <f t="shared" si="14"/>
        <v>102</v>
      </c>
      <c r="X36" s="3462"/>
      <c r="Y36" s="3684"/>
      <c r="Z36" s="3463" t="str">
        <f t="shared" si="15"/>
        <v>成新度</v>
      </c>
      <c r="AA36" s="3461">
        <f t="shared" si="3"/>
        <v>0.98039215686274506</v>
      </c>
      <c r="AB36" s="3461">
        <f t="shared" si="4"/>
        <v>0.98039215686274506</v>
      </c>
      <c r="AC36" s="3461">
        <f t="shared" si="5"/>
        <v>0.98039215686274506</v>
      </c>
    </row>
    <row r="37" spans="1:29" s="108" customFormat="1" ht="15">
      <c r="A37" s="424"/>
      <c r="B37" s="375" t="s">
        <v>1787</v>
      </c>
      <c r="C37" s="1906" t="s">
        <v>3619</v>
      </c>
      <c r="D37" s="127">
        <v>100</v>
      </c>
      <c r="E37" s="1906" t="s">
        <v>3619</v>
      </c>
      <c r="F37" s="412">
        <f>SUMIF(112:112,E37,113:113)-SUMIF(112:112,C37,113:113)+100</f>
        <v>100</v>
      </c>
      <c r="G37" s="1906" t="s">
        <v>3619</v>
      </c>
      <c r="H37" s="386">
        <f>SUMIF(112:112,G37,113:113)-SUMIF(112:112,C37,113:113)+100</f>
        <v>100</v>
      </c>
      <c r="I37" s="1906" t="s">
        <v>3619</v>
      </c>
      <c r="J37" s="386">
        <f>SUMIF(112:112,I37,113:113)-SUMIF(112:112,C37,113:113)+100</f>
        <v>100</v>
      </c>
      <c r="K37" s="561">
        <v>1</v>
      </c>
      <c r="L37" s="2712"/>
      <c r="M37" s="2713"/>
      <c r="N37" s="2713"/>
      <c r="O37" s="2713"/>
      <c r="P37" s="3682"/>
      <c r="Q37" s="3458" t="str">
        <f t="shared" si="11"/>
        <v>市政基础设施</v>
      </c>
      <c r="R37" s="701" t="s">
        <v>14</v>
      </c>
      <c r="S37" s="702">
        <f t="shared" si="12"/>
        <v>100</v>
      </c>
      <c r="T37" s="701" t="s">
        <v>14</v>
      </c>
      <c r="U37" s="702">
        <f t="shared" si="13"/>
        <v>100</v>
      </c>
      <c r="V37" s="701" t="s">
        <v>14</v>
      </c>
      <c r="W37" s="702">
        <f t="shared" si="14"/>
        <v>100</v>
      </c>
      <c r="X37" s="703"/>
      <c r="Y37" s="3684"/>
      <c r="Z37" s="3457" t="str">
        <f t="shared" si="15"/>
        <v>市政基础设施</v>
      </c>
      <c r="AA37" s="704">
        <f t="shared" si="3"/>
        <v>1</v>
      </c>
      <c r="AB37" s="704">
        <f t="shared" si="4"/>
        <v>1</v>
      </c>
      <c r="AC37" s="704">
        <f t="shared" si="5"/>
        <v>1</v>
      </c>
    </row>
    <row r="38" spans="1:29" ht="15">
      <c r="A38" s="423"/>
      <c r="B38" s="375" t="s">
        <v>1788</v>
      </c>
      <c r="C38" s="1906" t="s">
        <v>3593</v>
      </c>
      <c r="D38" s="386">
        <v>100</v>
      </c>
      <c r="E38" s="1906" t="s">
        <v>3595</v>
      </c>
      <c r="F38" s="412">
        <f>SUMIF(114:114,E38,115:115)-SUMIF(114:114,C38,115:115)+100</f>
        <v>90</v>
      </c>
      <c r="G38" s="1906" t="s">
        <v>3595</v>
      </c>
      <c r="H38" s="386">
        <f>SUMIF(114:114,G38,115:115)-SUMIF(114:114,C38,115:115)+100</f>
        <v>90</v>
      </c>
      <c r="I38" s="1906" t="s">
        <v>3595</v>
      </c>
      <c r="J38" s="386">
        <f>SUMIF(114:114,I38,115:115)-SUMIF(114:114,C38,115:115)+100</f>
        <v>90</v>
      </c>
      <c r="K38" s="561">
        <v>10</v>
      </c>
      <c r="L38" s="2717"/>
      <c r="M38" s="2711"/>
      <c r="N38" s="2711"/>
      <c r="O38" s="2711"/>
      <c r="P38" s="3682" t="s">
        <v>1696</v>
      </c>
      <c r="Q38" s="3460" t="str">
        <f t="shared" si="11"/>
        <v>业态</v>
      </c>
      <c r="R38" s="705" t="s">
        <v>14</v>
      </c>
      <c r="S38" s="706">
        <f t="shared" si="12"/>
        <v>90</v>
      </c>
      <c r="T38" s="705" t="s">
        <v>14</v>
      </c>
      <c r="U38" s="706">
        <f t="shared" si="13"/>
        <v>90</v>
      </c>
      <c r="V38" s="705" t="s">
        <v>14</v>
      </c>
      <c r="W38" s="706">
        <f t="shared" si="14"/>
        <v>90</v>
      </c>
      <c r="X38" s="3462"/>
      <c r="Y38" s="3684" t="s">
        <v>1696</v>
      </c>
      <c r="Z38" s="3463" t="str">
        <f t="shared" si="15"/>
        <v>业态</v>
      </c>
      <c r="AA38" s="3461">
        <f t="shared" si="3"/>
        <v>1.1111111111111112</v>
      </c>
      <c r="AB38" s="3461">
        <f t="shared" si="4"/>
        <v>1.1111111111111112</v>
      </c>
      <c r="AC38" s="3461">
        <f t="shared" si="5"/>
        <v>1.1111111111111112</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82"/>
      <c r="Q39" s="3460" t="str">
        <f t="shared" si="11"/>
        <v>层高</v>
      </c>
      <c r="R39" s="705" t="s">
        <v>14</v>
      </c>
      <c r="S39" s="706">
        <f t="shared" si="12"/>
        <v>100</v>
      </c>
      <c r="T39" s="705" t="s">
        <v>14</v>
      </c>
      <c r="U39" s="706">
        <f t="shared" si="13"/>
        <v>100</v>
      </c>
      <c r="V39" s="705" t="s">
        <v>14</v>
      </c>
      <c r="W39" s="706">
        <f t="shared" si="14"/>
        <v>100</v>
      </c>
      <c r="X39" s="3462"/>
      <c r="Y39" s="3684"/>
      <c r="Z39" s="3463"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82"/>
      <c r="Q40" s="3460" t="str">
        <f t="shared" si="11"/>
        <v>单套建筑面积</v>
      </c>
      <c r="R40" s="705" t="s">
        <v>14</v>
      </c>
      <c r="S40" s="706">
        <f t="shared" si="12"/>
        <v>100</v>
      </c>
      <c r="T40" s="705" t="s">
        <v>14</v>
      </c>
      <c r="U40" s="706">
        <f t="shared" si="13"/>
        <v>100</v>
      </c>
      <c r="V40" s="705" t="s">
        <v>14</v>
      </c>
      <c r="W40" s="706">
        <f t="shared" si="14"/>
        <v>100</v>
      </c>
      <c r="X40" s="3462"/>
      <c r="Y40" s="3684"/>
      <c r="Z40" s="3463" t="str">
        <f t="shared" si="15"/>
        <v>单套建筑面积</v>
      </c>
      <c r="AA40" s="3461">
        <f t="shared" si="3"/>
        <v>1</v>
      </c>
      <c r="AB40" s="3461">
        <f t="shared" si="4"/>
        <v>1</v>
      </c>
      <c r="AC40" s="3461">
        <f t="shared" si="5"/>
        <v>1</v>
      </c>
    </row>
    <row r="41" spans="1:29" s="422" customFormat="1" ht="15">
      <c r="A41" s="419"/>
      <c r="B41" s="345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v>2</v>
      </c>
      <c r="L41" s="2716"/>
      <c r="M41" s="2718"/>
      <c r="N41" s="2718"/>
      <c r="O41" s="2718"/>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3461">
        <f t="shared" si="3"/>
        <v>1</v>
      </c>
      <c r="AB41" s="3461">
        <f t="shared" si="4"/>
        <v>1</v>
      </c>
      <c r="AC41" s="3461">
        <f t="shared" si="5"/>
        <v>1</v>
      </c>
    </row>
    <row r="42" spans="1:29" ht="15">
      <c r="A42" s="423"/>
      <c r="B42" s="375" t="s">
        <v>1792</v>
      </c>
      <c r="C42" s="1906" t="s">
        <v>3589</v>
      </c>
      <c r="D42" s="386">
        <v>100</v>
      </c>
      <c r="E42" s="1906" t="s">
        <v>3589</v>
      </c>
      <c r="F42" s="412">
        <f>SUMIF(122:122,E42,123:123)-SUMIF(122:122,C42,123:123)+100</f>
        <v>100</v>
      </c>
      <c r="G42" s="1906" t="s">
        <v>3589</v>
      </c>
      <c r="H42" s="386">
        <f>SUMIF(122:122,G42,123:123)-SUMIF(122:122,C42,123:123)+100</f>
        <v>100</v>
      </c>
      <c r="I42" s="1906" t="s">
        <v>3589</v>
      </c>
      <c r="J42" s="386">
        <f>SUMIF(122:122,I42,123:123)-SUMIF(122:122,C42,123:123)+100</f>
        <v>100</v>
      </c>
      <c r="K42" s="561">
        <v>2</v>
      </c>
      <c r="L42" s="2717"/>
      <c r="M42" s="2711"/>
      <c r="N42" s="2711"/>
      <c r="O42" s="2711"/>
      <c r="P42" s="3682"/>
      <c r="Q42" s="3460" t="str">
        <f t="shared" si="11"/>
        <v>内部装修</v>
      </c>
      <c r="R42" s="705" t="s">
        <v>14</v>
      </c>
      <c r="S42" s="706">
        <f t="shared" si="12"/>
        <v>100</v>
      </c>
      <c r="T42" s="705" t="s">
        <v>14</v>
      </c>
      <c r="U42" s="706">
        <f t="shared" si="13"/>
        <v>100</v>
      </c>
      <c r="V42" s="705" t="s">
        <v>14</v>
      </c>
      <c r="W42" s="706">
        <f t="shared" si="14"/>
        <v>100</v>
      </c>
      <c r="X42" s="3462"/>
      <c r="Y42" s="3684"/>
      <c r="Z42" s="3463" t="str">
        <f t="shared" si="15"/>
        <v>内部装修</v>
      </c>
      <c r="AA42" s="3461">
        <f t="shared" si="3"/>
        <v>1</v>
      </c>
      <c r="AB42" s="3461">
        <f t="shared" si="4"/>
        <v>1</v>
      </c>
      <c r="AC42" s="3461">
        <f t="shared" si="5"/>
        <v>1</v>
      </c>
    </row>
    <row r="43" spans="1:29" ht="15.75"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1">
        <v>2</v>
      </c>
      <c r="L43" s="2717"/>
      <c r="M43" s="2711"/>
      <c r="N43" s="2711"/>
      <c r="O43" s="2711"/>
      <c r="P43" s="3682"/>
      <c r="Q43" s="3460" t="str">
        <f t="shared" si="11"/>
        <v>内部装修维护情况</v>
      </c>
      <c r="R43" s="705" t="s">
        <v>14</v>
      </c>
      <c r="S43" s="706">
        <f t="shared" si="12"/>
        <v>100</v>
      </c>
      <c r="T43" s="705" t="s">
        <v>14</v>
      </c>
      <c r="U43" s="706">
        <f t="shared" si="13"/>
        <v>100</v>
      </c>
      <c r="V43" s="705" t="s">
        <v>14</v>
      </c>
      <c r="W43" s="706">
        <f t="shared" si="14"/>
        <v>100</v>
      </c>
      <c r="X43" s="3462"/>
      <c r="Y43" s="3684"/>
      <c r="Z43" s="3463" t="str">
        <f t="shared" si="15"/>
        <v>内部装修维护情况</v>
      </c>
      <c r="AA43" s="3461">
        <f t="shared" si="3"/>
        <v>1</v>
      </c>
      <c r="AB43" s="3461">
        <f t="shared" si="4"/>
        <v>1</v>
      </c>
      <c r="AC43" s="3461">
        <f t="shared" si="5"/>
        <v>1</v>
      </c>
    </row>
    <row r="44" spans="1:29" s="108" customFormat="1" ht="15.75" hidden="1" thickBot="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82"/>
      <c r="Q44" s="3458">
        <f t="shared" si="11"/>
        <v>111</v>
      </c>
      <c r="R44" s="701" t="s">
        <v>14</v>
      </c>
      <c r="S44" s="702">
        <f t="shared" si="12"/>
        <v>100</v>
      </c>
      <c r="T44" s="701" t="s">
        <v>14</v>
      </c>
      <c r="U44" s="702">
        <f t="shared" si="13"/>
        <v>100</v>
      </c>
      <c r="V44" s="701" t="s">
        <v>14</v>
      </c>
      <c r="W44" s="702">
        <f t="shared" si="14"/>
        <v>100</v>
      </c>
      <c r="X44" s="703"/>
      <c r="Y44" s="3684"/>
      <c r="Z44" s="3457">
        <f t="shared" si="15"/>
        <v>111</v>
      </c>
      <c r="AA44" s="704">
        <f t="shared" si="3"/>
        <v>1</v>
      </c>
      <c r="AB44" s="704">
        <f t="shared" si="4"/>
        <v>1</v>
      </c>
      <c r="AC44" s="704">
        <f t="shared" si="5"/>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82"/>
      <c r="Q45" s="3460">
        <f t="shared" si="11"/>
        <v>111</v>
      </c>
      <c r="R45" s="705" t="s">
        <v>14</v>
      </c>
      <c r="S45" s="706">
        <f t="shared" si="12"/>
        <v>100</v>
      </c>
      <c r="T45" s="705" t="s">
        <v>14</v>
      </c>
      <c r="U45" s="706">
        <f t="shared" si="13"/>
        <v>100</v>
      </c>
      <c r="V45" s="705" t="s">
        <v>14</v>
      </c>
      <c r="W45" s="706">
        <f t="shared" si="14"/>
        <v>100</v>
      </c>
      <c r="X45" s="3462"/>
      <c r="Y45" s="3684"/>
      <c r="Z45" s="3463">
        <f t="shared" si="15"/>
        <v>111</v>
      </c>
      <c r="AA45" s="3461">
        <f t="shared" si="3"/>
        <v>1</v>
      </c>
      <c r="AB45" s="3461">
        <f t="shared" si="4"/>
        <v>1</v>
      </c>
      <c r="AC45" s="3461">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83"/>
      <c r="Q46" s="3460">
        <f t="shared" si="11"/>
        <v>111</v>
      </c>
      <c r="R46" s="705" t="s">
        <v>14</v>
      </c>
      <c r="S46" s="706">
        <f t="shared" si="12"/>
        <v>100</v>
      </c>
      <c r="T46" s="705" t="s">
        <v>14</v>
      </c>
      <c r="U46" s="706">
        <f t="shared" si="13"/>
        <v>100</v>
      </c>
      <c r="V46" s="705" t="s">
        <v>14</v>
      </c>
      <c r="W46" s="706">
        <f t="shared" si="14"/>
        <v>100</v>
      </c>
      <c r="X46" s="3462"/>
      <c r="Y46" s="3685"/>
      <c r="Z46" s="3463">
        <f t="shared" si="15"/>
        <v>111</v>
      </c>
      <c r="AA46" s="3461">
        <f t="shared" si="3"/>
        <v>1</v>
      </c>
      <c r="AB46" s="3461">
        <f t="shared" si="4"/>
        <v>1</v>
      </c>
      <c r="AC46" s="3461">
        <f t="shared" si="5"/>
        <v>1</v>
      </c>
    </row>
    <row r="47" spans="1:29" ht="15">
      <c r="A47" s="430" t="s">
        <v>1708</v>
      </c>
      <c r="B47" s="431"/>
      <c r="C47" s="1154" t="s">
        <v>0</v>
      </c>
      <c r="D47" s="1155"/>
      <c r="E47" s="1156">
        <f>'案例-办公'!E2</f>
        <v>36133</v>
      </c>
      <c r="F47" s="1157"/>
      <c r="G47" s="1158">
        <f>'案例-办公'!E3</f>
        <v>34488</v>
      </c>
      <c r="H47" s="1159"/>
      <c r="I47" s="1156">
        <f>'案例-办公'!E4</f>
        <v>33045</v>
      </c>
      <c r="J47" s="1159"/>
      <c r="K47" s="714"/>
      <c r="L47" s="2719" t="s">
        <v>3632</v>
      </c>
      <c r="M47" s="2720"/>
      <c r="N47" s="2711"/>
      <c r="O47" s="2720"/>
      <c r="P47" s="3672" t="str">
        <f>A47</f>
        <v>成交单价（元/平方米）</v>
      </c>
      <c r="Q47" s="3672"/>
      <c r="R47" s="3686">
        <f>E47</f>
        <v>36133</v>
      </c>
      <c r="S47" s="3686"/>
      <c r="T47" s="3686">
        <f>G47</f>
        <v>34488</v>
      </c>
      <c r="U47" s="3686"/>
      <c r="V47" s="3686">
        <f>I47</f>
        <v>33045</v>
      </c>
      <c r="W47" s="3686"/>
      <c r="X47" s="690"/>
      <c r="Y47" s="712"/>
      <c r="Z47" s="690"/>
      <c r="AA47" s="690"/>
      <c r="AB47" s="690"/>
      <c r="AC47" s="690"/>
    </row>
    <row r="48" spans="1:29" ht="15.75" thickBot="1">
      <c r="A48" s="437" t="s">
        <v>1709</v>
      </c>
      <c r="B48" s="438"/>
      <c r="C48" s="1160">
        <f>R49</f>
        <v>35819</v>
      </c>
      <c r="D48" s="2317" t="s">
        <v>2138</v>
      </c>
      <c r="E48" s="1161">
        <f>R48</f>
        <v>37226</v>
      </c>
      <c r="F48" s="2318" t="s">
        <v>3632</v>
      </c>
      <c r="G48" s="1160">
        <f>T48</f>
        <v>35531</v>
      </c>
      <c r="H48" s="2318" t="s">
        <v>3632</v>
      </c>
      <c r="I48" s="1161">
        <f>V48</f>
        <v>34699</v>
      </c>
      <c r="J48" s="2318" t="s">
        <v>3632</v>
      </c>
      <c r="K48" s="2320" t="e">
        <f>F48+H48+J48</f>
        <v>#VALUE!</v>
      </c>
      <c r="L48" s="2719"/>
      <c r="M48" s="2720"/>
      <c r="N48" s="2711"/>
      <c r="O48" s="2720"/>
      <c r="P48" s="3672" t="str">
        <f>A48</f>
        <v>比较价值（元/平方米）</v>
      </c>
      <c r="Q48" s="3672"/>
      <c r="R48" s="3673">
        <f>IF(F1="售价",ROUND(PRODUCT(R47,AA7:AA46),0),ROUND(PRODUCT(R47,AA7:AA46),1))</f>
        <v>37226</v>
      </c>
      <c r="S48" s="3673"/>
      <c r="T48" s="3673">
        <f>IF(F1="售价",ROUND(PRODUCT(T47,AB7:AB46),0),ROUND(PRODUCT(T47,AB7:AB46),1))</f>
        <v>35531</v>
      </c>
      <c r="U48" s="3673"/>
      <c r="V48" s="3673">
        <f>IF(F1="售价",ROUND(PRODUCT(V47,AC7:AC46),0),ROUND(PRODUCT(V47,AC7:AC46),1))</f>
        <v>34699</v>
      </c>
      <c r="W48" s="3673"/>
      <c r="X48" s="690"/>
      <c r="Y48" s="690"/>
      <c r="Z48" s="690"/>
      <c r="AA48" s="690"/>
      <c r="AB48" s="690"/>
      <c r="AC48" s="690"/>
    </row>
    <row r="49" spans="1:29" ht="15.75" thickBot="1">
      <c r="A49" s="441" t="s">
        <v>1710</v>
      </c>
      <c r="B49" s="442"/>
      <c r="C49" s="1163">
        <f>R49</f>
        <v>35819</v>
      </c>
      <c r="D49" s="1163"/>
      <c r="E49" s="1163"/>
      <c r="F49" s="1163"/>
      <c r="G49" s="1163"/>
      <c r="H49" s="1163"/>
      <c r="I49" s="1163"/>
      <c r="J49" s="1163"/>
      <c r="K49" s="715"/>
      <c r="L49" s="2719"/>
      <c r="M49" s="2720"/>
      <c r="N49" s="2711"/>
      <c r="O49" s="2720"/>
      <c r="P49" s="3674" t="str">
        <f>A49</f>
        <v>估价对象XX用房的比较价值（楼面单价，元/平方米）</v>
      </c>
      <c r="Q49" s="3675"/>
      <c r="R49" s="3676">
        <f>IF(F1="售价",ROUND(IF(D48="简单平均",AVERAGE(R48:V48),R48*F48+T48*H48+V48*J48),0),ROUND(IF(D48="简单平均",AVERAGE(R48:V48),R48*F48+T48*H48+V48*J48),1))</f>
        <v>35819</v>
      </c>
      <c r="S49" s="3676"/>
      <c r="T49" s="3676"/>
      <c r="U49" s="3676"/>
      <c r="V49" s="3676"/>
      <c r="W49" s="367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1711</v>
      </c>
      <c r="D52" s="447"/>
      <c r="E52" s="448">
        <f>IF(E47&lt;E48,E48/E47-1,E47/E48-1)</f>
        <v>3.0249356543879502E-2</v>
      </c>
      <c r="F52" s="449" t="str">
        <f>IF(OR(E52&gt;=0.3,E52&lt;=-0.3),"超过30%","")</f>
        <v/>
      </c>
      <c r="G52" s="448">
        <f>IF(G47&lt;G48,G48/G47-1,G47/G48-1)</f>
        <v>3.0242403154720376E-2</v>
      </c>
      <c r="H52" s="449" t="str">
        <f>IF(OR(G52&gt;=0.3,G52&lt;=-0.3),"超过30%","")</f>
        <v/>
      </c>
      <c r="I52" s="448">
        <f>IF(I47&lt;I48,I48/I47-1,I47/I48-1)</f>
        <v>5.0052958087456467E-2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1712</v>
      </c>
      <c r="D53" s="450"/>
      <c r="E53" s="448">
        <f>IF(E48&lt;G48,G48/E48-1,E48/G48-1)</f>
        <v>4.7704821142101173E-2</v>
      </c>
      <c r="F53" s="449" t="str">
        <f>IF(OR(E53&gt;=0.2,E53&lt;=-0.2),"超过20%","")</f>
        <v/>
      </c>
      <c r="G53" s="448">
        <f>IF(G48&lt;I48,I48/G48-1,G48/I48-1)</f>
        <v>2.3977636243119438E-2</v>
      </c>
      <c r="H53" s="449" t="str">
        <f>IF(OR(G53&gt;=0.2,G53&lt;=-0.2),"超过20%","")</f>
        <v/>
      </c>
      <c r="I53" s="448">
        <f>IF(I48&lt;E48,E48/I48-1,I48/E48-1)</f>
        <v>7.2826306233608973E-2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1713</v>
      </c>
      <c r="D54" s="450"/>
      <c r="E54" s="448">
        <f>IF(E47&lt;G47,G47/E47-1,E47/G47-1)</f>
        <v>4.7697749942008816E-2</v>
      </c>
      <c r="F54" s="449" t="str">
        <f>IF(OR(E54&gt;=0.3,E54&lt;=-0.3),"超过30%","")</f>
        <v/>
      </c>
      <c r="G54" s="448">
        <f>IF(G47&lt;I47,I47/G47-1,G47/I47-1)</f>
        <v>4.3667725828415715E-2</v>
      </c>
      <c r="H54" s="449" t="str">
        <f>IF(OR(G54&gt;=0.3,G54&lt;=-0.3),"超过30%","")</f>
        <v/>
      </c>
      <c r="I54" s="448">
        <f>IF(I47&lt;E47,E47/I47-1,I47/E47-1)</f>
        <v>9.3448328037524675E-2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1714</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1718</v>
      </c>
      <c r="D61" s="3475" t="s">
        <v>3634</v>
      </c>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t="str">
        <f>C9</f>
        <v>商业</v>
      </c>
      <c r="D63" s="3470" t="s">
        <v>3646</v>
      </c>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v>95</v>
      </c>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68" t="s">
        <v>3569</v>
      </c>
      <c r="D86" s="3468" t="s">
        <v>3570</v>
      </c>
      <c r="E86" s="3468" t="s">
        <v>3572</v>
      </c>
      <c r="F86" s="3468" t="s">
        <v>3573</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68" t="s">
        <v>3574</v>
      </c>
      <c r="D88" s="3468" t="s">
        <v>3575</v>
      </c>
      <c r="E88" s="3468" t="s">
        <v>3576</v>
      </c>
      <c r="F88" s="3469" t="s">
        <v>3577</v>
      </c>
      <c r="G88" s="3468" t="s">
        <v>3578</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3468" t="s">
        <v>3579</v>
      </c>
      <c r="D90" s="3468" t="s">
        <v>3581</v>
      </c>
      <c r="E90" s="3468" t="s">
        <v>3576</v>
      </c>
      <c r="F90" s="3468" t="s">
        <v>3582</v>
      </c>
      <c r="G90" s="3468" t="s">
        <v>3583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3584</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70" t="s">
        <v>3649</v>
      </c>
      <c r="D100" s="3470" t="s">
        <v>3650</v>
      </c>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0(含)-150</v>
      </c>
      <c r="D102" s="527" t="str">
        <f t="shared" ref="D102:L102" si="23">D103&amp;"(含)"&amp;"-"&amp;E103</f>
        <v>150(含)-300</v>
      </c>
      <c r="E102" s="527" t="str">
        <f t="shared" si="23"/>
        <v>300(含)-500</v>
      </c>
      <c r="F102" s="527" t="str">
        <f t="shared" si="23"/>
        <v>500(含)-1000</v>
      </c>
      <c r="G102" s="527" t="str">
        <f t="shared" si="23"/>
        <v>1000(含)-10000</v>
      </c>
      <c r="H102" s="527" t="str">
        <f t="shared" si="23"/>
        <v xml:space="preserve">10000(含)- </v>
      </c>
      <c r="I102" s="527" t="str">
        <f t="shared" si="23"/>
        <v xml:space="preserve"> (含)-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150</v>
      </c>
      <c r="E103" s="544">
        <v>300</v>
      </c>
      <c r="F103" s="544">
        <v>500</v>
      </c>
      <c r="G103" s="544">
        <v>1000</v>
      </c>
      <c r="H103" s="544">
        <v>10000</v>
      </c>
      <c r="I103" s="544" t="s">
        <v>2824</v>
      </c>
      <c r="J103" s="545" t="s">
        <v>3586</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3587</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3588</v>
      </c>
      <c r="D107" s="3468" t="s">
        <v>3590</v>
      </c>
      <c r="E107" s="3468" t="s">
        <v>3591</v>
      </c>
      <c r="F107" s="3471" t="s">
        <v>3592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3594</v>
      </c>
      <c r="D114" s="3468" t="s">
        <v>3596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3600</v>
      </c>
      <c r="D120" s="3471" t="s">
        <v>3602</v>
      </c>
      <c r="E120" s="3471" t="s">
        <v>3576</v>
      </c>
      <c r="F120" s="3471" t="s">
        <v>3603</v>
      </c>
      <c r="G120" s="3472" t="s">
        <v>3604</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85" priority="20" stopIfTrue="1" operator="containsText" text="超过">
      <formula>NOT(ISERROR(SEARCH("超过",F52)))</formula>
    </cfRule>
  </conditionalFormatting>
  <conditionalFormatting sqref="H54">
    <cfRule type="containsText" dxfId="184" priority="19" stopIfTrue="1" operator="containsText" text="超过">
      <formula>NOT(ISERROR(SEARCH("超过",H54)))</formula>
    </cfRule>
  </conditionalFormatting>
  <conditionalFormatting sqref="F54">
    <cfRule type="containsText" dxfId="183" priority="18" stopIfTrue="1" operator="containsText" text="超过">
      <formula>NOT(ISERROR(SEARCH("超过",F54)))</formula>
    </cfRule>
  </conditionalFormatting>
  <conditionalFormatting sqref="F53 H53">
    <cfRule type="containsText" dxfId="182" priority="17" stopIfTrue="1" operator="containsText" text="超过">
      <formula>NOT(ISERROR(SEARCH("超过",F53)))</formula>
    </cfRule>
  </conditionalFormatting>
  <conditionalFormatting sqref="E52">
    <cfRule type="expression" dxfId="181" priority="16" stopIfTrue="1">
      <formula>$F$52="超过30%"</formula>
    </cfRule>
  </conditionalFormatting>
  <conditionalFormatting sqref="E53">
    <cfRule type="expression" dxfId="180" priority="15" stopIfTrue="1">
      <formula>$F$53="超过20%"</formula>
    </cfRule>
  </conditionalFormatting>
  <conditionalFormatting sqref="E54">
    <cfRule type="expression" dxfId="179" priority="14" stopIfTrue="1">
      <formula>$F$54="超过30%"</formula>
    </cfRule>
  </conditionalFormatting>
  <conditionalFormatting sqref="G54">
    <cfRule type="expression" dxfId="178" priority="13" stopIfTrue="1">
      <formula>$H$54="超过30%"</formula>
    </cfRule>
  </conditionalFormatting>
  <conditionalFormatting sqref="G52">
    <cfRule type="expression" dxfId="177" priority="12" stopIfTrue="1">
      <formula>$H$52="超过30%"</formula>
    </cfRule>
  </conditionalFormatting>
  <conditionalFormatting sqref="G53">
    <cfRule type="expression" dxfId="176" priority="11" stopIfTrue="1">
      <formula>$H$53="超过20%"</formula>
    </cfRule>
  </conditionalFormatting>
  <conditionalFormatting sqref="J52">
    <cfRule type="containsText" dxfId="175" priority="10" stopIfTrue="1" operator="containsText" text="超过">
      <formula>NOT(ISERROR(SEARCH("超过",J52)))</formula>
    </cfRule>
  </conditionalFormatting>
  <conditionalFormatting sqref="J54">
    <cfRule type="containsText" dxfId="174" priority="9" stopIfTrue="1" operator="containsText" text="超过">
      <formula>NOT(ISERROR(SEARCH("超过",J54)))</formula>
    </cfRule>
  </conditionalFormatting>
  <conditionalFormatting sqref="J53">
    <cfRule type="containsText" dxfId="173" priority="8" stopIfTrue="1" operator="containsText" text="超过">
      <formula>NOT(ISERROR(SEARCH("超过",J53)))</formula>
    </cfRule>
  </conditionalFormatting>
  <conditionalFormatting sqref="I52">
    <cfRule type="expression" dxfId="172" priority="7" stopIfTrue="1">
      <formula>$J$52="超过30%"</formula>
    </cfRule>
  </conditionalFormatting>
  <conditionalFormatting sqref="I53">
    <cfRule type="expression" dxfId="171" priority="6" stopIfTrue="1">
      <formula>$J$53="超过20%"</formula>
    </cfRule>
  </conditionalFormatting>
  <conditionalFormatting sqref="I54">
    <cfRule type="expression" dxfId="170" priority="5" stopIfTrue="1">
      <formula>$J$54="超过30%"</formula>
    </cfRule>
  </conditionalFormatting>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F7:F46 H7:H46 J7:J46">
    <cfRule type="cellIs" dxfId="16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1139.3752999999999</v>
      </c>
      <c r="C2" s="1387" t="s">
        <v>879</v>
      </c>
      <c r="D2" s="1471">
        <f ca="1">C40+J29+L46</f>
        <v>11393753</v>
      </c>
      <c r="E2" s="1388" t="s">
        <v>880</v>
      </c>
      <c r="F2" s="1389"/>
      <c r="G2" s="2701"/>
      <c r="H2" s="2690"/>
      <c r="I2" s="2690"/>
      <c r="J2" s="2690"/>
      <c r="K2" s="2691"/>
      <c r="L2" s="2690"/>
      <c r="M2" s="2690"/>
    </row>
    <row r="3" spans="1:37" ht="18" customHeight="1" thickBot="1">
      <c r="A3" s="1390" t="s">
        <v>881</v>
      </c>
      <c r="B3" s="1391">
        <f ca="1">IF(ISERROR(D2/F43),0,ROUND(D2/F43,0))</f>
        <v>18644</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1049686</v>
      </c>
      <c r="D5" s="1364" t="s">
        <v>889</v>
      </c>
      <c r="E5" s="1071"/>
      <c r="F5" s="1072"/>
      <c r="G5" s="1384"/>
      <c r="H5" s="299">
        <v>1</v>
      </c>
      <c r="I5" s="300" t="s">
        <v>888</v>
      </c>
      <c r="J5" s="1070">
        <f ca="1">J6+J10+J12</f>
        <v>1166939</v>
      </c>
      <c r="K5" s="1364" t="s">
        <v>889</v>
      </c>
      <c r="L5" s="1071"/>
      <c r="M5" s="1072"/>
    </row>
    <row r="6" spans="1:37" ht="18" customHeight="1">
      <c r="A6" s="1069" t="s">
        <v>398</v>
      </c>
      <c r="B6" s="3717" t="s">
        <v>694</v>
      </c>
      <c r="C6" s="1074">
        <f ca="1">ROUND(F6*F8*F7*(1-F9),0)</f>
        <v>1048376</v>
      </c>
      <c r="D6" s="155" t="s">
        <v>2106</v>
      </c>
      <c r="E6" s="302" t="s">
        <v>696</v>
      </c>
      <c r="F6" s="303">
        <f ca="1">INDIRECT("'数据-取费表'!u"&amp;$G$1)</f>
        <v>4.7</v>
      </c>
      <c r="G6" s="1384"/>
      <c r="H6" s="1069" t="s">
        <v>398</v>
      </c>
      <c r="I6" s="3717" t="s">
        <v>694</v>
      </c>
      <c r="J6" s="301">
        <f ca="1">ROUND(M6*M8*M7*(1-M9),0)</f>
        <v>1165482</v>
      </c>
      <c r="K6" s="1376" t="s">
        <v>2107</v>
      </c>
      <c r="L6" s="302" t="s">
        <v>696</v>
      </c>
      <c r="M6" s="303">
        <f ca="1">INDIRECT("'数据-取费表'!z"&amp;$G$1)</f>
        <v>5.5</v>
      </c>
    </row>
    <row r="7" spans="1:37" ht="18" customHeight="1">
      <c r="A7" s="1073"/>
      <c r="B7" s="3718"/>
      <c r="C7" s="1075"/>
      <c r="D7" s="307"/>
      <c r="E7" s="1076" t="s">
        <v>697</v>
      </c>
      <c r="F7" s="303">
        <f ca="1">IF(INDIRECT("'数据-取费表'!ah"&amp;$G$1)="",INDIRECT("'数据-取费表'!k"&amp;$G$1),INDIRECT("'数据-取费表'!ah"&amp;$G$1))</f>
        <v>611.12</v>
      </c>
      <c r="G7" s="1384"/>
      <c r="H7" s="304"/>
      <c r="I7" s="3718"/>
      <c r="J7" s="306"/>
      <c r="K7" s="307"/>
      <c r="L7" s="302" t="s">
        <v>697</v>
      </c>
      <c r="M7" s="303">
        <f ca="1">F7</f>
        <v>611.12</v>
      </c>
    </row>
    <row r="8" spans="1:37" ht="18" customHeight="1">
      <c r="A8" s="304"/>
      <c r="B8" s="3718"/>
      <c r="C8" s="306"/>
      <c r="D8" s="307"/>
      <c r="E8" s="302" t="s">
        <v>698</v>
      </c>
      <c r="F8" s="303">
        <f ca="1">INDIRECT("'数据-取费表'!ai"&amp;$G$1)</f>
        <v>365</v>
      </c>
      <c r="G8" s="1384"/>
      <c r="H8" s="304"/>
      <c r="I8" s="3718"/>
      <c r="J8" s="306"/>
      <c r="K8" s="307"/>
      <c r="L8" s="302" t="s">
        <v>698</v>
      </c>
      <c r="M8" s="303">
        <f ca="1">INDIRECT("'数据-取费表'!ai"&amp;$G$1)</f>
        <v>365</v>
      </c>
    </row>
    <row r="9" spans="1:37" ht="18" customHeight="1">
      <c r="A9" s="304"/>
      <c r="B9" s="3719"/>
      <c r="C9" s="306"/>
      <c r="D9" s="307"/>
      <c r="E9" s="302" t="s">
        <v>699</v>
      </c>
      <c r="F9" s="312">
        <f ca="1">INDIRECT("'数据-取费表'!w"&amp;$G$1)</f>
        <v>0</v>
      </c>
      <c r="G9" s="1384"/>
      <c r="H9" s="304"/>
      <c r="I9" s="3719"/>
      <c r="J9" s="306"/>
      <c r="K9" s="307"/>
      <c r="L9" s="313" t="s">
        <v>699</v>
      </c>
      <c r="M9" s="314">
        <f ca="1">INDIRECT("'数据-取费表'!ab"&amp;$G$1)</f>
        <v>0.05</v>
      </c>
    </row>
    <row r="10" spans="1:37" ht="18" customHeight="1">
      <c r="A10" s="1069" t="s">
        <v>402</v>
      </c>
      <c r="B10" s="1365" t="s">
        <v>700</v>
      </c>
      <c r="C10" s="316">
        <f ca="1">ROUND(IF(F10="押一",C6/12*F11,IF(F10="押二",C6/12*2*F11,IF(F10="押三",C6/12*3*F11,C11*F11))),0)</f>
        <v>1310</v>
      </c>
      <c r="D10" s="1366" t="s">
        <v>2116</v>
      </c>
      <c r="E10" s="313" t="s">
        <v>701</v>
      </c>
      <c r="F10" s="1116" t="s">
        <v>3417</v>
      </c>
      <c r="G10" s="1384"/>
      <c r="H10" s="1069" t="s">
        <v>402</v>
      </c>
      <c r="I10" s="1365" t="s">
        <v>700</v>
      </c>
      <c r="J10" s="301">
        <f ca="1">ROUND(IF(M10="押一",J6/12*M11,IF(M10="押二",J6/12*2*M11,IF(M10="押三",J6/12*3*M11,J11*M11))),0)</f>
        <v>1457</v>
      </c>
      <c r="K10" s="1377" t="s">
        <v>2118</v>
      </c>
      <c r="L10" s="313" t="s">
        <v>701</v>
      </c>
      <c r="M10" s="1116" t="s">
        <v>3417</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2445049</v>
      </c>
      <c r="D13" s="1081" t="s">
        <v>705</v>
      </c>
      <c r="E13" s="1081" t="s">
        <v>706</v>
      </c>
      <c r="F13" s="1082">
        <f ca="1">INDIRECT("'数据-取费表'!y"&amp;$G$1)</f>
        <v>0.7</v>
      </c>
      <c r="G13" s="1384"/>
      <c r="H13" s="1079">
        <v>2</v>
      </c>
      <c r="I13" s="1080" t="s">
        <v>704</v>
      </c>
      <c r="J13" s="1068">
        <f ca="1">ROUND(J14*J15,0)</f>
        <v>2095756</v>
      </c>
      <c r="K13" s="1087" t="s">
        <v>705</v>
      </c>
      <c r="L13" s="1392"/>
      <c r="M13" s="1393"/>
    </row>
    <row r="14" spans="1:37" ht="18" customHeight="1">
      <c r="A14" s="982" t="s">
        <v>397</v>
      </c>
      <c r="B14" s="302" t="s">
        <v>707</v>
      </c>
      <c r="C14" s="318">
        <f ca="1">ROUND(INDIRECT("'数据-取费表'!l"&amp;$G$1)*F43+'数据-取费表'!L14*INDIRECT("'数据-取费表'!S"&amp;$G$1),0)</f>
        <v>2444480</v>
      </c>
      <c r="D14" s="1345" t="s">
        <v>708</v>
      </c>
      <c r="E14" s="1342"/>
      <c r="F14" s="319"/>
      <c r="G14" s="1384"/>
      <c r="H14" s="982" t="s">
        <v>398</v>
      </c>
      <c r="I14" s="302" t="s">
        <v>709</v>
      </c>
      <c r="J14" s="21">
        <f ca="1">C29</f>
        <v>3492927</v>
      </c>
      <c r="K14" s="12"/>
      <c r="L14" s="807"/>
      <c r="M14" s="808"/>
    </row>
    <row r="15" spans="1:37" s="1397" customFormat="1" ht="18" customHeight="1" thickBot="1">
      <c r="A15" s="982" t="s">
        <v>399</v>
      </c>
      <c r="B15" s="302" t="s">
        <v>710</v>
      </c>
      <c r="C15" s="21">
        <f ca="1">ROUND(C14*F15,0)</f>
        <v>73334</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220753</v>
      </c>
      <c r="K16" s="1087" t="s">
        <v>715</v>
      </c>
      <c r="L16" s="1088"/>
      <c r="M16" s="1072"/>
    </row>
    <row r="17" spans="1:37" s="1397" customFormat="1" ht="18" customHeight="1">
      <c r="A17" s="982" t="s">
        <v>681</v>
      </c>
      <c r="B17" s="302" t="s">
        <v>716</v>
      </c>
      <c r="C17" s="21">
        <f ca="1">ROUND(F17*(F43+INDIRECT("'数据-取费表'!S"&amp;$G$1)),0)</f>
        <v>122224</v>
      </c>
      <c r="D17" s="302" t="s">
        <v>717</v>
      </c>
      <c r="E17" s="302" t="s">
        <v>718</v>
      </c>
      <c r="F17" s="23">
        <f>'数据-取费表'!B35</f>
        <v>200</v>
      </c>
      <c r="G17" s="1396"/>
      <c r="H17" s="982" t="s">
        <v>398</v>
      </c>
      <c r="I17" s="302" t="s">
        <v>719</v>
      </c>
      <c r="J17" s="2316">
        <f ca="1">ROUND(IF(AND(项目基本情况!B11="自然人",项目基本情况!B10="北京市"),J6*M17/(1+'数据-取费表'!C42),J18+J19+J20),0)</f>
        <v>195357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36667</v>
      </c>
      <c r="D18" s="302" t="s">
        <v>711</v>
      </c>
      <c r="E18" s="302" t="s">
        <v>712</v>
      </c>
      <c r="F18" s="322">
        <f>'数据-取费表'!B36</f>
        <v>1.4999999999999999E-2</v>
      </c>
      <c r="G18" s="1396"/>
      <c r="H18" s="982" t="s">
        <v>397</v>
      </c>
      <c r="I18" s="302" t="s">
        <v>723</v>
      </c>
      <c r="J18" s="21">
        <f ca="1">ROUND(J6*M18/(1+'数据-取费表'!C42),0)</f>
        <v>62159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2676705</v>
      </c>
      <c r="D19" s="131" t="s">
        <v>726</v>
      </c>
      <c r="E19" s="1360"/>
      <c r="F19" s="23"/>
      <c r="G19" s="1384"/>
      <c r="H19" s="982" t="s">
        <v>399</v>
      </c>
      <c r="I19" s="302" t="s">
        <v>727</v>
      </c>
      <c r="J19" s="21">
        <f ca="1">IF(K19="按租金收入计税",ROUND(J6*M19/(1+'数据-取费表'!C42),0),ROUND(C29*M19*0.7,0))</f>
        <v>133198</v>
      </c>
      <c r="K19" s="1370" t="s">
        <v>3336</v>
      </c>
      <c r="L19" s="302" t="s">
        <v>712</v>
      </c>
      <c r="M19" s="322">
        <f>IF(K19="按租金收入计税",'数据-取费表'!B51,'数据-取费表'!B50)</f>
        <v>0.12</v>
      </c>
    </row>
    <row r="20" spans="1:37" s="1397" customFormat="1" ht="18" customHeight="1">
      <c r="A20" s="982" t="s">
        <v>402</v>
      </c>
      <c r="B20" s="302" t="s">
        <v>728</v>
      </c>
      <c r="C20" s="21">
        <f ca="1">ROUND(C19*F20,0)</f>
        <v>53534</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17465</v>
      </c>
      <c r="K22" s="1344" t="s">
        <v>739</v>
      </c>
      <c r="L22" s="302" t="s">
        <v>712</v>
      </c>
      <c r="M22" s="3476">
        <f ca="1">F36</f>
        <v>5.0000000000000001E-3</v>
      </c>
    </row>
    <row r="23" spans="1:37" s="1397" customFormat="1" ht="18" customHeight="1">
      <c r="A23" s="982" t="s">
        <v>397</v>
      </c>
      <c r="B23" s="302" t="s">
        <v>740</v>
      </c>
      <c r="C23" s="21">
        <f ca="1">IF('数据-取费表'!B22&lt;=1,ROUND(C19*F24*F23/2,0)+ROUND(C20*F24*F23/2,0),ROUND(C19*(POWER((1+F24),F23/2)-1),0)+ROUND(C20*(POWER((1+F24),F23/2)-1),0))</f>
        <v>84546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2096</v>
      </c>
      <c r="K23" s="1344" t="s">
        <v>743</v>
      </c>
      <c r="L23" s="302" t="s">
        <v>744</v>
      </c>
      <c r="M23" s="3477">
        <f ca="1">F37</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5835</v>
      </c>
      <c r="K24" s="1092" t="s">
        <v>748</v>
      </c>
      <c r="L24" s="1090" t="s">
        <v>744</v>
      </c>
      <c r="M24" s="3478">
        <f ca="1">F38</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946186</v>
      </c>
      <c r="K25" s="1095" t="s">
        <v>753</v>
      </c>
      <c r="L25" s="1096"/>
      <c r="M25" s="1097"/>
    </row>
    <row r="26" spans="1:37" ht="18" customHeight="1">
      <c r="A26" s="982" t="s">
        <v>397</v>
      </c>
      <c r="B26" s="302" t="s">
        <v>754</v>
      </c>
      <c r="C26" s="21">
        <f ca="1">ROUND((C19+C20)*F26,0)</f>
        <v>409536</v>
      </c>
      <c r="D26" s="323" t="s">
        <v>755</v>
      </c>
      <c r="E26" s="313" t="s">
        <v>756</v>
      </c>
      <c r="F26" s="312">
        <f ca="1">INDIRECT("'数据-取费表'!q"&amp;$G$1)</f>
        <v>0.15</v>
      </c>
      <c r="G26" s="1384"/>
      <c r="H26" s="299" t="s">
        <v>395</v>
      </c>
      <c r="I26" s="300" t="s">
        <v>757</v>
      </c>
      <c r="J26" s="301">
        <f ca="1">IF(J5&lt;&gt;0,ROUND(J25*(1-((1+M28)/(1+M26))^M27)/(M26-M28),0),0)</f>
        <v>7689322</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3492927</v>
      </c>
      <c r="D29" s="1092"/>
      <c r="E29" s="1090"/>
      <c r="F29" s="1093"/>
      <c r="G29" s="1396"/>
      <c r="H29" s="334" t="s">
        <v>396</v>
      </c>
      <c r="I29" s="335" t="s">
        <v>768</v>
      </c>
      <c r="J29" s="336">
        <f ca="1">ROUND(J26/(1+F40)^F41,0)</f>
        <v>4363922</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200885</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ROUND(IF(AND(项目基本情况!B11="自然人",项目基本情况!B10="北京市"),C6*F31/(1+'数据-取费表'!C42),C32+C33+C34),0)</f>
        <v>175727</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IF(项目基本情况!B11="自然人","——",ROUND(C6*F32/(1+'数据-取费表'!C42),0))</f>
        <v>55913</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119814</v>
      </c>
      <c r="D33" s="1370" t="s">
        <v>3336</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17465</v>
      </c>
      <c r="D36" s="1344" t="s">
        <v>771</v>
      </c>
      <c r="E36" s="302" t="s">
        <v>712</v>
      </c>
      <c r="F36" s="328">
        <f ca="1">INDIRECT("'数据-取费表'!Ak"&amp;$G$1)</f>
        <v>5.0000000000000001E-3</v>
      </c>
      <c r="G36" s="1384"/>
      <c r="H36" s="2695"/>
      <c r="I36" s="1398"/>
      <c r="J36" s="1399"/>
      <c r="K36" s="2540"/>
      <c r="L36" s="2695"/>
      <c r="M36" s="2695"/>
    </row>
    <row r="37" spans="1:18" ht="18" customHeight="1">
      <c r="A37" s="982" t="s">
        <v>437</v>
      </c>
      <c r="B37" s="302" t="s">
        <v>742</v>
      </c>
      <c r="C37" s="21">
        <f ca="1">ROUND(C13*F37,0)</f>
        <v>2445</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ROUND(C5*F38,0)</f>
        <v>5248</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848801</v>
      </c>
      <c r="D39" s="1095" t="s">
        <v>773</v>
      </c>
      <c r="E39" s="1096"/>
      <c r="F39" s="1097"/>
      <c r="G39" s="1384"/>
      <c r="H39" s="2695"/>
      <c r="I39" s="1398"/>
      <c r="J39" s="1399"/>
      <c r="K39" s="2699"/>
      <c r="L39" s="2695"/>
      <c r="M39" s="2695"/>
    </row>
    <row r="40" spans="1:18" ht="18" customHeight="1">
      <c r="A40" s="299" t="s">
        <v>395</v>
      </c>
      <c r="B40" s="300" t="s">
        <v>774</v>
      </c>
      <c r="C40" s="301">
        <f ca="1">ROUND(C39*(1-((1+F42)/(1+F40))^F41)/(F40-F42),0)</f>
        <v>7029831</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1.2E-2</v>
      </c>
      <c r="G42" s="1384"/>
      <c r="H42" s="1191"/>
      <c r="I42" s="1398"/>
      <c r="J42" s="1399"/>
      <c r="K42" s="2540"/>
      <c r="L42" s="1191"/>
      <c r="M42" s="1191"/>
    </row>
    <row r="43" spans="1:18" ht="18" customHeight="1" thickBot="1">
      <c r="A43" s="334" t="s">
        <v>396</v>
      </c>
      <c r="B43" s="335" t="s">
        <v>776</v>
      </c>
      <c r="C43" s="336">
        <f ca="1">ROUND(C40/F43,0)</f>
        <v>11503</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5" t="s">
        <v>3352</v>
      </c>
      <c r="B45" s="1400"/>
      <c r="C45" s="1472">
        <f ca="1">ROUND((C68-C40)/10000,4)</f>
        <v>223.48060000000001</v>
      </c>
      <c r="D45" s="3426" t="s">
        <v>3353</v>
      </c>
      <c r="E45" s="1400"/>
      <c r="F45" s="1400"/>
      <c r="O45" s="1403" t="s">
        <v>808</v>
      </c>
      <c r="P45" s="1461"/>
      <c r="Q45" s="1461"/>
      <c r="R45" s="1461"/>
    </row>
    <row r="46" spans="1:18" s="1384" customFormat="1" ht="13.5" thickBot="1">
      <c r="A46" s="1404" t="s">
        <v>809</v>
      </c>
      <c r="C46" s="1405">
        <f ca="1">ROUND(C45,0)</f>
        <v>223</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11393753</v>
      </c>
      <c r="R47" s="1420" t="s">
        <v>818</v>
      </c>
    </row>
    <row r="48" spans="1:18" s="1384" customFormat="1" ht="28.5" thickBot="1">
      <c r="A48" s="1110" t="s">
        <v>438</v>
      </c>
      <c r="B48" s="300" t="s">
        <v>692</v>
      </c>
      <c r="C48" s="1359">
        <f ca="1">C49+C53+C55</f>
        <v>1273024</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5" thickBot="1">
      <c r="A49" s="975" t="s">
        <v>439</v>
      </c>
      <c r="B49" s="1371" t="s">
        <v>779</v>
      </c>
      <c r="C49" s="1114">
        <f ca="1">ROUND(F49*F51*F50*(1-F52),0)</f>
        <v>1271435</v>
      </c>
      <c r="D49" s="1055" t="s">
        <v>695</v>
      </c>
      <c r="E49" s="1372" t="s">
        <v>780</v>
      </c>
      <c r="F49" s="1060">
        <f>'数据-取费表'!V20</f>
        <v>6</v>
      </c>
      <c r="G49" s="1425"/>
      <c r="H49" s="723"/>
      <c r="I49" s="1421" t="s">
        <v>823</v>
      </c>
      <c r="J49" s="1426">
        <f>'数据-取费表'!N17</f>
        <v>1995</v>
      </c>
      <c r="K49" s="1423" t="s">
        <v>824</v>
      </c>
      <c r="L49" s="1427"/>
      <c r="O49" s="1428" t="s">
        <v>405</v>
      </c>
      <c r="P49" s="1419" t="s">
        <v>825</v>
      </c>
      <c r="Q49" s="1420">
        <f ca="1">C29</f>
        <v>3492927</v>
      </c>
      <c r="R49" s="1420" t="s">
        <v>818</v>
      </c>
    </row>
    <row r="50" spans="1:18" s="1384" customFormat="1" ht="13.5" thickBot="1">
      <c r="A50" s="976"/>
      <c r="B50" s="979"/>
      <c r="C50" s="980"/>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32</v>
      </c>
      <c r="K51" s="1434" t="s">
        <v>830</v>
      </c>
      <c r="L51" s="1435">
        <f ca="1">ROUND(-PV(INDIRECT("'数据-取费表'!h"&amp;$G$1),J51,(C39-C13*C76),0),0)</f>
        <v>10322262</v>
      </c>
      <c r="M51" s="1436"/>
      <c r="O51" s="1428" t="s">
        <v>407</v>
      </c>
      <c r="P51" s="1419" t="s">
        <v>831</v>
      </c>
      <c r="Q51" s="1431">
        <f>J52</f>
        <v>8.5000000000000006E-2</v>
      </c>
      <c r="R51" s="1420"/>
    </row>
    <row r="52" spans="1:18" s="1384" customFormat="1" ht="13.5" thickBot="1">
      <c r="A52" s="977"/>
      <c r="B52" s="979"/>
      <c r="C52" s="980"/>
      <c r="D52" s="953"/>
      <c r="E52" s="981" t="s">
        <v>699</v>
      </c>
      <c r="F52" s="1054">
        <f>'数据-取费表'!AB6</f>
        <v>0.05</v>
      </c>
      <c r="I52" s="1437" t="s">
        <v>832</v>
      </c>
      <c r="J52" s="1438">
        <f>'数据-取费表'!J6+0.005</f>
        <v>8.5000000000000006E-2</v>
      </c>
      <c r="K52" s="1437" t="s">
        <v>833</v>
      </c>
      <c r="L52" s="1438"/>
      <c r="O52" s="1428" t="s">
        <v>408</v>
      </c>
      <c r="P52" s="1419" t="s">
        <v>834</v>
      </c>
      <c r="Q52" s="1420">
        <f ca="1">J53</f>
        <v>20.05</v>
      </c>
      <c r="R52" s="1420" t="s">
        <v>835</v>
      </c>
    </row>
    <row r="53" spans="1:18" s="1384" customFormat="1" ht="30.75" customHeight="1" thickBot="1">
      <c r="A53" s="1111" t="s">
        <v>440</v>
      </c>
      <c r="B53" s="323" t="s">
        <v>700</v>
      </c>
      <c r="C53" s="316">
        <f ca="1">ROUND(IF(F53="押一",C49/12*F11,IF(F53="押二",C49/12*2*F11,IF(F53="押三",C49/12*3*F11,C54*F11))),0)</f>
        <v>1589</v>
      </c>
      <c r="D53" s="1366" t="s">
        <v>2119</v>
      </c>
      <c r="E53" s="313" t="s">
        <v>701</v>
      </c>
      <c r="F53" s="1116" t="s">
        <v>3417</v>
      </c>
      <c r="I53" s="1439" t="s">
        <v>836</v>
      </c>
      <c r="J53" s="2168">
        <f ca="1">IF(M47="住宅",IF(D1="——",MAX(J51,L48),MAX(J51,L48-'数据-取费表'!B24)),IF(D1="——",MIN(J51,L48),MIN(J51,L48-'数据-取费表'!B24)))</f>
        <v>20.05</v>
      </c>
      <c r="K53" s="3720" t="s">
        <v>837</v>
      </c>
      <c r="L53" s="3721"/>
      <c r="O53" s="1418" t="s">
        <v>409</v>
      </c>
      <c r="P53" s="1419" t="s">
        <v>838</v>
      </c>
      <c r="Q53" s="1420">
        <f ca="1">Q47+Q48</f>
        <v>11393753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2445049</v>
      </c>
      <c r="D56" s="1447"/>
      <c r="E56" s="1448"/>
      <c r="F56" s="1440"/>
      <c r="I56" s="1449" t="s">
        <v>842</v>
      </c>
      <c r="J56" s="1450" t="s">
        <v>3386</v>
      </c>
      <c r="K56" s="1421" t="s">
        <v>843</v>
      </c>
      <c r="L56" s="1424" t="str">
        <f ca="1">IF(L48&lt;J51,"——",L48-J51)</f>
        <v>——</v>
      </c>
      <c r="O56" s="1418" t="s">
        <v>403</v>
      </c>
      <c r="P56" s="1419" t="s">
        <v>817</v>
      </c>
      <c r="Q56" s="1420">
        <f ca="1">C40+J29</f>
        <v>11393753</v>
      </c>
      <c r="R56" s="1420" t="s">
        <v>818</v>
      </c>
    </row>
    <row r="57" spans="1:18" s="1384" customFormat="1" ht="24.75" thickBot="1">
      <c r="A57" s="1451"/>
      <c r="B57" s="950" t="s">
        <v>767</v>
      </c>
      <c r="C57" s="238">
        <f ca="1">C29</f>
        <v>3492927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239477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213202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67895</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145307</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11393753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17465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2445</v>
      </c>
      <c r="D65" s="964" t="s">
        <v>743</v>
      </c>
      <c r="E65" s="950" t="s">
        <v>744</v>
      </c>
      <c r="F65" s="330">
        <f t="shared" ca="1" si="0"/>
        <v>1E-3</v>
      </c>
      <c r="I65" s="1462" t="s">
        <v>867</v>
      </c>
      <c r="J65" s="1463">
        <v>40</v>
      </c>
      <c r="K65" s="1463">
        <v>30</v>
      </c>
      <c r="L65" s="1463">
        <v>50</v>
      </c>
      <c r="M65" s="1465">
        <v>0.02</v>
      </c>
      <c r="O65" s="1418" t="s">
        <v>403</v>
      </c>
      <c r="P65" s="1419" t="s">
        <v>868</v>
      </c>
      <c r="Q65" s="1420">
        <f ca="1">C40+J29</f>
        <v>11393753</v>
      </c>
      <c r="R65" s="1420" t="s">
        <v>818</v>
      </c>
    </row>
    <row r="66" spans="1:18" s="1384" customFormat="1" ht="16.5" thickBot="1">
      <c r="A66" s="982" t="s">
        <v>793</v>
      </c>
      <c r="B66" s="950" t="s">
        <v>728</v>
      </c>
      <c r="C66" s="21">
        <f ca="1">ROUND(C48*F66,0)</f>
        <v>6365</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1033547</v>
      </c>
      <c r="D67" s="963" t="s">
        <v>753</v>
      </c>
      <c r="E67" s="968"/>
      <c r="F67" s="969"/>
      <c r="O67" s="1428" t="s">
        <v>405</v>
      </c>
      <c r="P67" s="1419" t="s">
        <v>850</v>
      </c>
      <c r="Q67" s="1466">
        <f ca="1">L51</f>
        <v>10322262</v>
      </c>
      <c r="R67" s="1420" t="s">
        <v>870</v>
      </c>
    </row>
    <row r="68" spans="1:18" s="1384" customFormat="1" ht="16.5" thickBot="1">
      <c r="A68" s="947" t="s">
        <v>395</v>
      </c>
      <c r="B68" s="948" t="s">
        <v>774</v>
      </c>
      <c r="C68" s="301">
        <f ca="1">ROUND(C67*(1-((1+F70)/(1+F68))^F69)/(F68-F70),0)</f>
        <v>9264637</v>
      </c>
      <c r="D68" s="965" t="s">
        <v>758</v>
      </c>
      <c r="E68" s="950" t="s">
        <v>759</v>
      </c>
      <c r="F68" s="312">
        <f ca="1">F40</f>
        <v>5.5E-2</v>
      </c>
      <c r="O68" s="1428" t="s">
        <v>406</v>
      </c>
      <c r="P68" s="1467" t="s">
        <v>871</v>
      </c>
      <c r="Q68" s="1420">
        <f ca="1">ROUND(Q69-Q70*Q71,0)</f>
        <v>653197</v>
      </c>
      <c r="R68" s="1420" t="s">
        <v>414</v>
      </c>
    </row>
    <row r="69" spans="1:18" s="1384" customFormat="1" ht="13.5" thickBot="1">
      <c r="A69" s="951"/>
      <c r="B69" s="952"/>
      <c r="C69" s="306"/>
      <c r="D69" s="970" t="s">
        <v>762</v>
      </c>
      <c r="E69" s="950" t="s">
        <v>763</v>
      </c>
      <c r="F69" s="333">
        <f ca="1">F41</f>
        <v>10.58</v>
      </c>
      <c r="O69" s="1428" t="s">
        <v>411</v>
      </c>
      <c r="P69" s="1467" t="s">
        <v>872</v>
      </c>
      <c r="Q69" s="1420">
        <f ca="1">C39</f>
        <v>848801</v>
      </c>
      <c r="R69" s="1420" t="s">
        <v>818</v>
      </c>
    </row>
    <row r="70" spans="1:18" s="1384" customFormat="1" ht="13.5" thickBot="1">
      <c r="A70" s="954"/>
      <c r="B70" s="955"/>
      <c r="C70" s="310"/>
      <c r="D70" s="966"/>
      <c r="E70" s="950" t="s">
        <v>766</v>
      </c>
      <c r="F70" s="1054">
        <f>'数据-取费表'!AA6</f>
        <v>0.03</v>
      </c>
      <c r="O70" s="1428" t="s">
        <v>412</v>
      </c>
      <c r="P70" s="1467" t="s">
        <v>873</v>
      </c>
      <c r="Q70" s="1420">
        <f ca="1">C13</f>
        <v>2445049</v>
      </c>
      <c r="R70" s="1420" t="s">
        <v>818</v>
      </c>
    </row>
    <row r="71" spans="1:18" s="1384" customFormat="1" ht="13.5" thickBot="1">
      <c r="A71" s="971" t="s">
        <v>396</v>
      </c>
      <c r="B71" s="972" t="s">
        <v>776</v>
      </c>
      <c r="C71" s="336">
        <f ca="1">ROUND(C68/F71,0)</f>
        <v>15160</v>
      </c>
      <c r="D71" s="973" t="s">
        <v>777</v>
      </c>
      <c r="E71" s="974" t="s">
        <v>778</v>
      </c>
      <c r="F71" s="339">
        <f ca="1">F43</f>
        <v>611.12</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195604</v>
      </c>
      <c r="D75" s="1384"/>
      <c r="E75" s="1384"/>
      <c r="F75" s="1384"/>
      <c r="K75" s="1402"/>
      <c r="L75" s="1384"/>
      <c r="O75" s="1418" t="s">
        <v>409</v>
      </c>
      <c r="P75" s="1419" t="s">
        <v>838</v>
      </c>
      <c r="Q75" s="1420">
        <f ca="1">Q65+Q66</f>
        <v>11393753</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0.23</v>
      </c>
    </row>
    <row r="81" spans="2:3">
      <c r="B81" s="270" t="s">
        <v>801</v>
      </c>
      <c r="C81" s="238"/>
    </row>
    <row r="82" spans="2:3">
      <c r="B82" s="273" t="s">
        <v>802</v>
      </c>
      <c r="C82" s="275">
        <f ca="1">1-C83</f>
        <v>0.65200000000000002</v>
      </c>
    </row>
    <row r="83" spans="2:3">
      <c r="B83" s="273" t="s">
        <v>803</v>
      </c>
      <c r="C83" s="274">
        <f ca="1">ROUND(C13/C40,3)</f>
        <v>0.34799999999999998</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39997558519241921"/>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1217</v>
      </c>
      <c r="C2" s="1387" t="s">
        <v>805</v>
      </c>
      <c r="D2" s="1387"/>
      <c r="E2" s="1388"/>
      <c r="F2" s="1389"/>
      <c r="G2" s="2701"/>
      <c r="H2" s="2690"/>
      <c r="I2" s="2690"/>
      <c r="J2" s="2690"/>
      <c r="K2" s="2691"/>
      <c r="L2" s="2690"/>
      <c r="M2" s="2690"/>
    </row>
    <row r="3" spans="1:37" ht="18" customHeight="1" thickBot="1">
      <c r="A3" s="1390" t="s">
        <v>806</v>
      </c>
      <c r="B3" s="1391">
        <f ca="1">IF(ISERROR(B2*10000/F43),0,ROUND(B2*10000/F43,0))</f>
        <v>19914</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v>
      </c>
      <c r="D5" s="1364" t="s">
        <v>693</v>
      </c>
      <c r="E5" s="1071"/>
      <c r="F5" s="1072"/>
      <c r="G5" s="1384"/>
      <c r="H5" s="299">
        <v>1</v>
      </c>
      <c r="I5" s="300" t="s">
        <v>692</v>
      </c>
      <c r="J5" s="1070">
        <f ca="1">J6+J10+J12</f>
        <v>117</v>
      </c>
      <c r="K5" s="1364" t="s">
        <v>693</v>
      </c>
      <c r="L5" s="1071"/>
      <c r="M5" s="1072"/>
    </row>
    <row r="6" spans="1:37" ht="18" customHeight="1">
      <c r="A6" s="1069" t="s">
        <v>398</v>
      </c>
      <c r="B6" s="3717" t="s">
        <v>694</v>
      </c>
      <c r="C6" s="1074">
        <f ca="1">ROUND(F6*F8*F7*(1-F9)/10000,0)</f>
        <v>105</v>
      </c>
      <c r="D6" s="155" t="s">
        <v>2109</v>
      </c>
      <c r="E6" s="302" t="s">
        <v>696</v>
      </c>
      <c r="F6" s="303">
        <f ca="1">INDIRECT("'数据-取费表'!u"&amp;$G$1)</f>
        <v>4.7</v>
      </c>
      <c r="G6" s="1384"/>
      <c r="H6" s="1069" t="s">
        <v>398</v>
      </c>
      <c r="I6" s="3717" t="s">
        <v>694</v>
      </c>
      <c r="J6" s="301">
        <f ca="1">ROUND(M6*M8*M7*(1-M9)/10000,0)</f>
        <v>117</v>
      </c>
      <c r="K6" s="155" t="s">
        <v>2108</v>
      </c>
      <c r="L6" s="302" t="s">
        <v>696</v>
      </c>
      <c r="M6" s="303">
        <f ca="1">INDIRECT("'数据-取费表'!z"&amp;$G$1)</f>
        <v>5.5</v>
      </c>
    </row>
    <row r="7" spans="1:37" ht="18" customHeight="1">
      <c r="A7" s="1073"/>
      <c r="B7" s="3718"/>
      <c r="C7" s="1075"/>
      <c r="D7" s="307"/>
      <c r="E7" s="1076" t="s">
        <v>697</v>
      </c>
      <c r="F7" s="303">
        <f ca="1">IF(INDIRECT("'数据-取费表'!ah"&amp;$G$1)="",INDIRECT("'数据-取费表'!k"&amp;$G$1),INDIRECT("'数据-取费表'!ah"&amp;$G$1))</f>
        <v>611.12</v>
      </c>
      <c r="G7" s="1384"/>
      <c r="H7" s="304"/>
      <c r="I7" s="3718"/>
      <c r="J7" s="306"/>
      <c r="K7" s="307"/>
      <c r="L7" s="302" t="s">
        <v>697</v>
      </c>
      <c r="M7" s="303">
        <f ca="1">F7</f>
        <v>611.12</v>
      </c>
    </row>
    <row r="8" spans="1:37" ht="18" customHeight="1">
      <c r="A8" s="304"/>
      <c r="B8" s="3718"/>
      <c r="C8" s="306"/>
      <c r="D8" s="307"/>
      <c r="E8" s="302" t="s">
        <v>698</v>
      </c>
      <c r="F8" s="303">
        <f ca="1">INDIRECT("'数据-取费表'!ai"&amp;$G$1)</f>
        <v>365</v>
      </c>
      <c r="G8" s="1384"/>
      <c r="H8" s="304"/>
      <c r="I8" s="3718"/>
      <c r="J8" s="306"/>
      <c r="K8" s="307"/>
      <c r="L8" s="302" t="s">
        <v>698</v>
      </c>
      <c r="M8" s="303">
        <f ca="1">INDIRECT("'数据-取费表'!ai"&amp;$G$1)</f>
        <v>365</v>
      </c>
    </row>
    <row r="9" spans="1:37" ht="18" customHeight="1">
      <c r="A9" s="304"/>
      <c r="B9" s="3719"/>
      <c r="C9" s="306"/>
      <c r="D9" s="307"/>
      <c r="E9" s="302" t="s">
        <v>699</v>
      </c>
      <c r="F9" s="312">
        <f ca="1">INDIRECT("'数据-取费表'!w"&amp;$G$1)</f>
        <v>0</v>
      </c>
      <c r="G9" s="1384"/>
      <c r="H9" s="304"/>
      <c r="I9" s="3719"/>
      <c r="J9" s="306"/>
      <c r="K9" s="307"/>
      <c r="L9" s="313" t="s">
        <v>699</v>
      </c>
      <c r="M9" s="314">
        <f ca="1">INDIRECT("'数据-取费表'!ab"&amp;$G$1)</f>
        <v>0.05</v>
      </c>
    </row>
    <row r="10" spans="1:37" ht="18" customHeight="1">
      <c r="A10" s="1069" t="s">
        <v>402</v>
      </c>
      <c r="B10" s="1365" t="s">
        <v>700</v>
      </c>
      <c r="C10" s="316">
        <f ca="1">ROUND(IF(F10="押一",C6/12*F11,IF(F10="押二",C6/12*2*F11,IF(F10="押三",C6/12*3*F11,C11*F11))),0)</f>
        <v>0</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v>
      </c>
      <c r="D13" s="1081" t="s">
        <v>705</v>
      </c>
      <c r="E13" s="1081" t="s">
        <v>706</v>
      </c>
      <c r="F13" s="1082">
        <f ca="1">INDIRECT("'数据-取费表'!y"&amp;$G$1)</f>
        <v>0.7</v>
      </c>
      <c r="G13" s="1384"/>
      <c r="H13" s="1079">
        <v>2</v>
      </c>
      <c r="I13" s="1080" t="s">
        <v>704</v>
      </c>
      <c r="J13" s="1068">
        <f ca="1">ROUND(J14*J15,0)</f>
        <v>209</v>
      </c>
      <c r="K13" s="1087" t="s">
        <v>705</v>
      </c>
      <c r="L13" s="1392"/>
      <c r="M13" s="1393"/>
    </row>
    <row r="14" spans="1:37" ht="18" customHeight="1">
      <c r="A14" s="982" t="s">
        <v>397</v>
      </c>
      <c r="B14" s="302" t="s">
        <v>707</v>
      </c>
      <c r="C14" s="318">
        <f ca="1">INDIRECT("'数据-取费表'!m"&amp;$G$1)+INDIRECT("'数据-取费表'!t"&amp;$G$1)</f>
        <v>244</v>
      </c>
      <c r="D14" s="1345" t="s">
        <v>708</v>
      </c>
      <c r="E14" s="1342"/>
      <c r="F14" s="319"/>
      <c r="G14" s="1384"/>
      <c r="H14" s="982" t="s">
        <v>398</v>
      </c>
      <c r="I14" s="302" t="s">
        <v>709</v>
      </c>
      <c r="J14" s="21">
        <f ca="1">C29</f>
        <v>348</v>
      </c>
      <c r="K14" s="12"/>
      <c r="L14" s="807"/>
      <c r="M14" s="808"/>
    </row>
    <row r="15" spans="1:37" s="1397" customFormat="1" ht="18" customHeight="1" thickBot="1">
      <c r="A15" s="982" t="s">
        <v>399</v>
      </c>
      <c r="B15" s="302" t="s">
        <v>710</v>
      </c>
      <c r="C15" s="21">
        <f ca="1">ROUND(C14*F15,0)</f>
        <v>7</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v>
      </c>
      <c r="K16" s="1087" t="s">
        <v>715</v>
      </c>
      <c r="L16" s="1088"/>
      <c r="M16" s="1072"/>
    </row>
    <row r="17" spans="1:37" s="1397" customFormat="1" ht="18" customHeight="1">
      <c r="A17" s="982" t="s">
        <v>681</v>
      </c>
      <c r="B17" s="302" t="s">
        <v>716</v>
      </c>
      <c r="C17" s="21">
        <f ca="1">ROUND(F17*(F43+INDIRECT("'数据-取费表'!S"&amp;$G$1))/10000,0)</f>
        <v>12</v>
      </c>
      <c r="D17" s="302" t="s">
        <v>717</v>
      </c>
      <c r="E17" s="302" t="s">
        <v>718</v>
      </c>
      <c r="F17" s="23">
        <f>'数据-取费表'!B35</f>
        <v>200</v>
      </c>
      <c r="G17" s="1396"/>
      <c r="H17" s="982" t="s">
        <v>398</v>
      </c>
      <c r="I17" s="302" t="s">
        <v>719</v>
      </c>
      <c r="J17" s="2316">
        <f ca="1">ROUND(IF(AND(项目基本情况!B11="自然人",项目基本情况!B10="北京市"),J6*M17/(1+'数据-取费表'!C42),J18+J19+J20),2)</f>
        <v>19.61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6.24</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v>
      </c>
      <c r="D19" s="131" t="s">
        <v>726</v>
      </c>
      <c r="E19" s="1360"/>
      <c r="F19" s="23"/>
      <c r="G19" s="1384"/>
      <c r="H19" s="982" t="s">
        <v>399</v>
      </c>
      <c r="I19" s="302" t="s">
        <v>727</v>
      </c>
      <c r="J19" s="21">
        <f ca="1">IF(K19="按租金收入计税",ROUND(J6*M19/(1+'数据-取费表'!C42),2),ROUND(C29*M19*0.7,2))</f>
        <v>13.37</v>
      </c>
      <c r="K19" s="1370" t="s">
        <v>3336</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0.21</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0.59</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95</v>
      </c>
      <c r="K25" s="1095" t="s">
        <v>753</v>
      </c>
      <c r="L25" s="1096"/>
      <c r="M25" s="1097"/>
    </row>
    <row r="26" spans="1:37">
      <c r="A26" s="982" t="s">
        <v>397</v>
      </c>
      <c r="B26" s="302" t="s">
        <v>754</v>
      </c>
      <c r="C26" s="21">
        <f ca="1">ROUND((C19+C20)*F26,0)</f>
        <v>41</v>
      </c>
      <c r="D26" s="323" t="s">
        <v>755</v>
      </c>
      <c r="E26" s="313" t="s">
        <v>756</v>
      </c>
      <c r="F26" s="312">
        <f ca="1">INDIRECT("'数据-取费表'!q"&amp;$G$1)</f>
        <v>0.15</v>
      </c>
      <c r="G26" s="1384"/>
      <c r="H26" s="299" t="s">
        <v>395</v>
      </c>
      <c r="I26" s="300" t="s">
        <v>757</v>
      </c>
      <c r="J26" s="301">
        <f ca="1">IF(J5&lt;&gt;0,ROUND(J25*(1-((1+M28)/(1+M26))^M27)/(M26-M28),0),0)</f>
        <v>772</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348</v>
      </c>
      <c r="D29" s="1092"/>
      <c r="E29" s="1090"/>
      <c r="F29" s="1093"/>
      <c r="G29" s="1396"/>
      <c r="H29" s="334" t="s">
        <v>396</v>
      </c>
      <c r="I29" s="335" t="s">
        <v>768</v>
      </c>
      <c r="J29" s="336">
        <f ca="1">ROUND(J26/(1+F40)^F41,0)</f>
        <v>438</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ROUND(IF(AND(项目基本情况!B11="自然人",项目基本情况!B10="北京市"),C6*F31/(1+'数据-取费表'!C42),C32+C33+C34),2)</f>
        <v>8.52</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IF(项目基本情况!B11="自然人","——",ROUND(C6*F32/(1+'数据-取费表'!C42),2))</f>
        <v>5.6</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2.92</v>
      </c>
      <c r="D33" s="1370" t="s">
        <v>3393</v>
      </c>
      <c r="E33" s="302" t="s">
        <v>712</v>
      </c>
      <c r="F33" s="322">
        <f>IF(D33="按票据","——",IF(D33="按租金收入计税",'数据-取费表'!B51,'数据-取费表'!B50))</f>
        <v>1.2E-2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1.74</v>
      </c>
      <c r="D36" s="1344" t="s">
        <v>771</v>
      </c>
      <c r="E36" s="302" t="s">
        <v>712</v>
      </c>
      <c r="F36" s="328">
        <f ca="1">INDIRECT("'数据-取费表'!Ak"&amp;$G$1)</f>
        <v>5.0000000000000001E-3</v>
      </c>
      <c r="G36" s="1384"/>
      <c r="H36" s="2695"/>
      <c r="I36" s="1398"/>
      <c r="J36" s="1399"/>
      <c r="K36" s="2540"/>
      <c r="L36" s="2695"/>
      <c r="M36" s="2695"/>
    </row>
    <row r="37" spans="1:18" ht="18" customHeight="1">
      <c r="A37" s="982" t="s">
        <v>437</v>
      </c>
      <c r="B37" s="302" t="s">
        <v>742</v>
      </c>
      <c r="C37" s="21">
        <f ca="1">ROUND(C13*F37,2)</f>
        <v>0.24</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ROUND(C5*F38,2)</f>
        <v>0.53</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94</v>
      </c>
      <c r="D39" s="1095" t="s">
        <v>773</v>
      </c>
      <c r="E39" s="1096"/>
      <c r="F39" s="1097"/>
      <c r="G39" s="1384"/>
      <c r="H39" s="2695"/>
      <c r="I39" s="1398"/>
      <c r="J39" s="1399"/>
      <c r="K39" s="2699"/>
      <c r="L39" s="2695"/>
      <c r="M39" s="2695"/>
    </row>
    <row r="40" spans="1:18" ht="18" customHeight="1">
      <c r="A40" s="299" t="s">
        <v>395</v>
      </c>
      <c r="B40" s="300" t="s">
        <v>774</v>
      </c>
      <c r="C40" s="301">
        <f ca="1">ROUND(C39*(1-((1+F42)/(1+F40))^F41)/(F40-F42),0)</f>
        <v>779</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1.2E-2</v>
      </c>
      <c r="G42" s="1384"/>
      <c r="H42" s="1191"/>
      <c r="I42" s="1398"/>
      <c r="J42" s="1399"/>
      <c r="K42" s="2540"/>
      <c r="L42" s="1191"/>
      <c r="M42" s="1191"/>
    </row>
    <row r="43" spans="1:18" ht="18" customHeight="1" thickBot="1">
      <c r="A43" s="334" t="s">
        <v>396</v>
      </c>
      <c r="B43" s="335" t="s">
        <v>776</v>
      </c>
      <c r="C43" s="336">
        <f ca="1">ROUND(C40*10000/F43,0)</f>
        <v>12747</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-795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1217</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348</v>
      </c>
      <c r="R49" s="1420" t="s">
        <v>818</v>
      </c>
    </row>
    <row r="50" spans="1:18" s="1384" customFormat="1" ht="13.5" thickBot="1">
      <c r="A50" s="976"/>
      <c r="B50" s="979"/>
      <c r="C50" s="1118"/>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1410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20.05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20.05</v>
      </c>
      <c r="K53" s="3720" t="s">
        <v>837</v>
      </c>
      <c r="L53" s="3721"/>
      <c r="O53" s="1418" t="s">
        <v>409</v>
      </c>
      <c r="P53" s="1419" t="s">
        <v>838</v>
      </c>
      <c r="Q53" s="1420">
        <f ca="1">Q47+Q48</f>
        <v>1217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244</v>
      </c>
      <c r="D56" s="1447"/>
      <c r="E56" s="1448"/>
      <c r="F56" s="1440"/>
      <c r="I56" s="1449" t="s">
        <v>842</v>
      </c>
      <c r="J56" s="1450" t="s">
        <v>3386</v>
      </c>
      <c r="K56" s="1421" t="s">
        <v>843</v>
      </c>
      <c r="L56" s="1424" t="str">
        <f ca="1">IF(L48&lt;J51,"——",L48-J53)</f>
        <v>——</v>
      </c>
      <c r="O56" s="1418" t="s">
        <v>403</v>
      </c>
      <c r="P56" s="1419" t="s">
        <v>817</v>
      </c>
      <c r="Q56" s="1420">
        <f ca="1">C40+J29</f>
        <v>1217</v>
      </c>
      <c r="R56" s="1420" t="s">
        <v>818</v>
      </c>
    </row>
    <row r="57" spans="1:18" s="1384" customFormat="1" ht="24.75" thickBot="1">
      <c r="A57" s="1451"/>
      <c r="B57" s="950" t="s">
        <v>767</v>
      </c>
      <c r="C57" s="238">
        <f ca="1">C29</f>
        <v>348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1217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0.24</v>
      </c>
      <c r="D65" s="964" t="s">
        <v>743</v>
      </c>
      <c r="E65" s="950" t="s">
        <v>744</v>
      </c>
      <c r="F65" s="330">
        <f t="shared" ca="1" si="0"/>
        <v>1E-3</v>
      </c>
      <c r="I65" s="1462" t="s">
        <v>867</v>
      </c>
      <c r="J65" s="1463">
        <v>40</v>
      </c>
      <c r="K65" s="1463">
        <v>30</v>
      </c>
      <c r="L65" s="1463">
        <v>50</v>
      </c>
      <c r="M65" s="1465">
        <v>0.02</v>
      </c>
      <c r="O65" s="1418" t="s">
        <v>403</v>
      </c>
      <c r="P65" s="1419" t="s">
        <v>868</v>
      </c>
      <c r="Q65" s="1420">
        <f ca="1">C40+J29</f>
        <v>1217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1410</v>
      </c>
      <c r="R67" s="1420" t="s">
        <v>870</v>
      </c>
    </row>
    <row r="68" spans="1:18" s="1384" customFormat="1" ht="16.5" thickBot="1">
      <c r="A68" s="947" t="s">
        <v>395</v>
      </c>
      <c r="B68" s="948" t="s">
        <v>774</v>
      </c>
      <c r="C68" s="301">
        <f ca="1">ROUND(C67*(1-((1+F70)/(1+F68))^F69)/(F68-F70),0)</f>
        <v>-16</v>
      </c>
      <c r="D68" s="965" t="s">
        <v>758</v>
      </c>
      <c r="E68" s="950" t="s">
        <v>759</v>
      </c>
      <c r="F68" s="312">
        <f ca="1">F40</f>
        <v>5.5E-2</v>
      </c>
      <c r="O68" s="1428" t="s">
        <v>406</v>
      </c>
      <c r="P68" s="1467" t="s">
        <v>871</v>
      </c>
      <c r="Q68" s="1420">
        <f ca="1">ROUND(Q69-Q70*Q71,0)</f>
        <v>74</v>
      </c>
      <c r="R68" s="1420" t="s">
        <v>414</v>
      </c>
    </row>
    <row r="69" spans="1:18" s="1384" customFormat="1" ht="13.5" thickBot="1">
      <c r="A69" s="951"/>
      <c r="B69" s="952"/>
      <c r="C69" s="306"/>
      <c r="D69" s="970" t="s">
        <v>762</v>
      </c>
      <c r="E69" s="950" t="s">
        <v>763</v>
      </c>
      <c r="F69" s="333">
        <f ca="1">F41</f>
        <v>10.58</v>
      </c>
      <c r="O69" s="1428" t="s">
        <v>411</v>
      </c>
      <c r="P69" s="1467" t="s">
        <v>872</v>
      </c>
      <c r="Q69" s="1420">
        <f ca="1">C39</f>
        <v>94</v>
      </c>
      <c r="R69" s="1420" t="s">
        <v>818</v>
      </c>
    </row>
    <row r="70" spans="1:18" s="1384" customFormat="1" ht="13.5" thickBot="1">
      <c r="A70" s="954"/>
      <c r="B70" s="955"/>
      <c r="C70" s="310"/>
      <c r="D70" s="966"/>
      <c r="E70" s="950" t="s">
        <v>766</v>
      </c>
      <c r="F70" s="1054"/>
      <c r="O70" s="1428" t="s">
        <v>412</v>
      </c>
      <c r="P70" s="1467" t="s">
        <v>873</v>
      </c>
      <c r="Q70" s="1420">
        <f ca="1">C13</f>
        <v>244</v>
      </c>
      <c r="R70" s="1420" t="s">
        <v>818</v>
      </c>
    </row>
    <row r="71" spans="1:18" s="1384" customFormat="1" ht="13.5" thickBot="1">
      <c r="A71" s="971" t="s">
        <v>396</v>
      </c>
      <c r="B71" s="972" t="s">
        <v>776</v>
      </c>
      <c r="C71" s="336">
        <f ca="1">ROUND(C68*10000/F71,0)</f>
        <v>-262</v>
      </c>
      <c r="D71" s="973" t="s">
        <v>777</v>
      </c>
      <c r="E71" s="974" t="s">
        <v>778</v>
      </c>
      <c r="F71" s="339">
        <f ca="1">F43</f>
        <v>611.12</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v>
      </c>
      <c r="D75" s="1384"/>
      <c r="E75" s="1384"/>
      <c r="F75" s="1384"/>
      <c r="K75" s="1402"/>
      <c r="L75" s="1384"/>
      <c r="O75" s="1418" t="s">
        <v>409</v>
      </c>
      <c r="P75" s="1419" t="s">
        <v>838</v>
      </c>
      <c r="Q75" s="1420">
        <f ca="1">Q65+Q66</f>
        <v>1217</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0.68700000000000006</v>
      </c>
    </row>
    <row r="83" spans="2:3">
      <c r="B83" s="273" t="s">
        <v>803</v>
      </c>
      <c r="C83" s="274">
        <f ca="1">ROUND(C13/C40,3)</f>
        <v>0.313</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44"/>
  <sheetViews>
    <sheetView zoomScale="80" zoomScaleNormal="80" workbookViewId="0">
      <selection activeCell="J50" sqref="J50"/>
    </sheetView>
  </sheetViews>
  <sheetFormatPr defaultRowHeight="13.15" customHeight="1"/>
  <cols>
    <col min="1" max="1" width="9.5" style="2837" customWidth="1"/>
    <col min="2" max="2" width="8.875" style="2837"/>
    <col min="3" max="5" width="12.875" style="2837" customWidth="1"/>
    <col min="6" max="6" width="47.5" style="2837" customWidth="1"/>
    <col min="7" max="7" width="13" style="2995" customWidth="1"/>
    <col min="8" max="8" width="8.875" style="2831"/>
    <col min="9" max="9" width="8.875" style="2832"/>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2432</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5" t="s">
        <v>2314</v>
      </c>
      <c r="B2" s="2838">
        <f ca="1">IF(D2="——",C40,C40+E2)</f>
        <v>18364</v>
      </c>
      <c r="C2" s="2839" t="s">
        <v>2315</v>
      </c>
      <c r="D2" s="3437" t="s">
        <v>43</v>
      </c>
      <c r="E2" s="3438"/>
      <c r="F2" s="2841"/>
      <c r="G2" s="2842"/>
      <c r="H2" s="2843"/>
      <c r="I2" s="2844"/>
      <c r="J2" s="3728" t="s">
        <v>2316</v>
      </c>
      <c r="K2" s="3729"/>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f ca="1">ROUND(B2*10000/B4,0)</f>
        <v>300497</v>
      </c>
      <c r="C3" s="2839" t="s">
        <v>2325</v>
      </c>
      <c r="D3" s="2839"/>
      <c r="E3" s="2840"/>
      <c r="F3" s="2841"/>
      <c r="G3" s="2842"/>
      <c r="H3" s="2843"/>
      <c r="I3" s="2844"/>
      <c r="J3" s="3730" t="s">
        <v>2326</v>
      </c>
      <c r="K3" s="3731"/>
      <c r="L3" s="2851"/>
      <c r="M3" s="2851"/>
      <c r="N3" s="2851"/>
      <c r="O3" s="2851"/>
      <c r="P3" s="2851"/>
      <c r="Q3" s="2852"/>
      <c r="R3" s="2853">
        <f>SUM(L3:Q3)</f>
        <v>0</v>
      </c>
      <c r="S3" s="2836"/>
      <c r="T3" s="2836"/>
      <c r="U3" s="2836"/>
      <c r="V3" s="2844"/>
    </row>
    <row r="4" spans="1:22" s="2848" customFormat="1" ht="13.15" customHeight="1">
      <c r="A4" s="2854" t="s">
        <v>2327</v>
      </c>
      <c r="B4" s="2855">
        <f>'数据-汇总表'!E3</f>
        <v>611.12</v>
      </c>
      <c r="C4" s="2839"/>
      <c r="D4" s="2839"/>
      <c r="E4" s="2840"/>
      <c r="F4" s="2841"/>
      <c r="G4" s="2842"/>
      <c r="H4" s="2843"/>
      <c r="I4" s="2844"/>
      <c r="J4" s="3730" t="s">
        <v>2328</v>
      </c>
      <c r="K4" s="3731"/>
      <c r="L4" s="2856"/>
      <c r="M4" s="2856"/>
      <c r="N4" s="2856"/>
      <c r="O4" s="2856"/>
      <c r="P4" s="2856"/>
      <c r="Q4" s="2857"/>
      <c r="R4" s="2858">
        <f>SUM(L4:Q4)</f>
        <v>0</v>
      </c>
      <c r="S4" s="2836"/>
      <c r="T4" s="2836"/>
      <c r="U4" s="2836"/>
      <c r="V4" s="2844"/>
    </row>
    <row r="5" spans="1:22" s="2848" customFormat="1" ht="13.15" customHeight="1" thickBot="1">
      <c r="A5" s="2859" t="s">
        <v>2329</v>
      </c>
      <c r="B5" s="2860">
        <f>'数据-汇总表'!D3</f>
        <v>0</v>
      </c>
      <c r="C5" s="2839"/>
      <c r="D5" s="2861"/>
      <c r="E5" s="2841"/>
      <c r="F5" s="2841"/>
      <c r="G5" s="2842"/>
      <c r="H5" s="2843"/>
      <c r="I5" s="2844"/>
      <c r="J5" s="2862" t="s">
        <v>2330</v>
      </c>
      <c r="K5" s="2863"/>
      <c r="L5" s="2863"/>
      <c r="M5" s="2864"/>
      <c r="N5" s="2864"/>
      <c r="O5" s="2864"/>
      <c r="P5" s="2864"/>
      <c r="Q5" s="2864"/>
      <c r="R5" s="2847">
        <f>SUM(R14,R19,R24,R25,R27,R28)</f>
        <v>4086</v>
      </c>
      <c r="S5" s="2836"/>
      <c r="T5" s="2836" t="s">
        <v>2331</v>
      </c>
      <c r="U5" s="2836" t="e">
        <f>ROUND(R5*10000/365/R3,1)</f>
        <v>#DIV/0!</v>
      </c>
      <c r="V5" s="2844"/>
    </row>
    <row r="6" spans="1:22" s="2848" customFormat="1" ht="13.15" customHeight="1" thickBot="1">
      <c r="A6" s="3736" t="s">
        <v>2332</v>
      </c>
      <c r="B6" s="3737"/>
      <c r="C6" s="3738"/>
      <c r="D6" s="2865">
        <f>R5</f>
        <v>4086</v>
      </c>
      <c r="E6" s="2866"/>
      <c r="F6" s="2867"/>
      <c r="G6" s="2868"/>
      <c r="H6" s="2843"/>
      <c r="I6" s="2844"/>
      <c r="J6" s="3722">
        <v>1</v>
      </c>
      <c r="K6" s="3723"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 ca="1">SUM(D9,D10,D11,D17,0)</f>
        <v>2394</v>
      </c>
      <c r="E7" s="2875">
        <f ca="1">E9+E10+E11+E17</f>
        <v>0.58580029368575626</v>
      </c>
      <c r="F7" s="2876"/>
      <c r="G7" s="2877"/>
      <c r="H7" s="2843"/>
      <c r="I7" s="2844"/>
      <c r="J7" s="3722"/>
      <c r="K7" s="3724"/>
      <c r="L7" s="3448" t="s">
        <v>3392</v>
      </c>
      <c r="M7" s="2879">
        <v>42</v>
      </c>
      <c r="N7" s="2855">
        <v>860</v>
      </c>
      <c r="O7" s="2880">
        <v>1</v>
      </c>
      <c r="P7" s="2880">
        <v>1</v>
      </c>
      <c r="Q7" s="2881">
        <v>365</v>
      </c>
      <c r="R7" s="2882">
        <f>ROUND(M7*N7*O7*P7*Q7/10000,0)</f>
        <v>1318</v>
      </c>
      <c r="S7" s="2836"/>
      <c r="T7" s="2836" t="s">
        <v>2343</v>
      </c>
      <c r="U7" s="2836"/>
      <c r="V7" s="2844"/>
    </row>
    <row r="8" spans="1:22" s="2848" customFormat="1" ht="13.15" customHeight="1">
      <c r="A8" s="2883" t="s">
        <v>2344</v>
      </c>
      <c r="B8" s="3739" t="s">
        <v>2345</v>
      </c>
      <c r="C8" s="3740"/>
      <c r="D8" s="2884" t="s">
        <v>2346</v>
      </c>
      <c r="E8" s="2885" t="s">
        <v>2347</v>
      </c>
      <c r="F8" s="2886" t="s">
        <v>2348</v>
      </c>
      <c r="G8" s="2887"/>
      <c r="H8" s="2843"/>
      <c r="I8" s="2844"/>
      <c r="J8" s="3722"/>
      <c r="K8" s="3724"/>
      <c r="L8" s="2878" t="s">
        <v>2349</v>
      </c>
      <c r="M8" s="2879"/>
      <c r="N8" s="2855"/>
      <c r="O8" s="2880"/>
      <c r="P8" s="2880"/>
      <c r="Q8" s="2881">
        <v>365</v>
      </c>
      <c r="R8" s="2882">
        <f t="shared" ref="R8:R13" si="0">ROUND(M8*N8*O8*P8*Q8/10000,0)</f>
        <v>0</v>
      </c>
      <c r="S8" s="2836"/>
      <c r="T8" s="2836" t="s">
        <v>2350</v>
      </c>
      <c r="U8" s="2836"/>
      <c r="V8" s="2844"/>
    </row>
    <row r="9" spans="1:22" s="2848" customFormat="1" ht="13.15" customHeight="1">
      <c r="A9" s="2883">
        <v>1</v>
      </c>
      <c r="B9" s="3739" t="s">
        <v>2351</v>
      </c>
      <c r="C9" s="3740"/>
      <c r="D9" s="2884">
        <f>ROUND(D6*E9,0)</f>
        <v>1226</v>
      </c>
      <c r="E9" s="2888">
        <v>0.3</v>
      </c>
      <c r="F9" s="2889" t="s">
        <v>2352</v>
      </c>
      <c r="G9" s="2868"/>
      <c r="H9" s="2843"/>
      <c r="I9" s="2844"/>
      <c r="J9" s="3722"/>
      <c r="K9" s="3724"/>
      <c r="L9" s="2878" t="s">
        <v>2353</v>
      </c>
      <c r="M9" s="2879"/>
      <c r="N9" s="2855"/>
      <c r="O9" s="2880"/>
      <c r="P9" s="2880"/>
      <c r="Q9" s="2881">
        <v>365</v>
      </c>
      <c r="R9" s="2882">
        <f t="shared" si="0"/>
        <v>0</v>
      </c>
      <c r="S9" s="2836"/>
      <c r="T9" s="2836"/>
      <c r="U9" s="2836"/>
      <c r="V9" s="2844"/>
    </row>
    <row r="10" spans="1:22" s="2848" customFormat="1" ht="13.15" customHeight="1">
      <c r="A10" s="2883">
        <v>2</v>
      </c>
      <c r="B10" s="3739" t="s">
        <v>2354</v>
      </c>
      <c r="C10" s="3740"/>
      <c r="D10" s="2884">
        <f>ROUND(D6*E10,0)</f>
        <v>817</v>
      </c>
      <c r="E10" s="2888">
        <v>0.2</v>
      </c>
      <c r="F10" s="2889" t="s">
        <v>2355</v>
      </c>
      <c r="G10" s="2868"/>
      <c r="H10" s="2843"/>
      <c r="I10" s="2844"/>
      <c r="J10" s="3722"/>
      <c r="K10" s="3724"/>
      <c r="L10" s="2878" t="s">
        <v>2356</v>
      </c>
      <c r="M10" s="2879"/>
      <c r="N10" s="2855"/>
      <c r="O10" s="2880"/>
      <c r="P10" s="2880"/>
      <c r="Q10" s="2881">
        <v>365</v>
      </c>
      <c r="R10" s="2882">
        <f t="shared" si="0"/>
        <v>0</v>
      </c>
      <c r="S10" s="2836"/>
      <c r="T10" s="2836"/>
      <c r="U10" s="2836"/>
      <c r="V10" s="2844"/>
    </row>
    <row r="11" spans="1:22" s="2848" customFormat="1" ht="13.15" customHeight="1">
      <c r="A11" s="2883">
        <v>3</v>
      </c>
      <c r="B11" s="3739" t="s">
        <v>2357</v>
      </c>
      <c r="C11" s="3740"/>
      <c r="D11" s="2884">
        <f ca="1">D12+D14+D15+D16</f>
        <v>228</v>
      </c>
      <c r="E11" s="2890">
        <f ca="1">D11/D6</f>
        <v>5.5800293685756244E-2</v>
      </c>
      <c r="F11" s="2886"/>
      <c r="G11" s="2887"/>
      <c r="H11" s="2843"/>
      <c r="I11" s="2844"/>
      <c r="J11" s="3722"/>
      <c r="K11" s="3724"/>
      <c r="L11" s="2878" t="s">
        <v>2358</v>
      </c>
      <c r="M11" s="2879"/>
      <c r="N11" s="2855"/>
      <c r="O11" s="2880"/>
      <c r="P11" s="2880"/>
      <c r="Q11" s="2881">
        <v>365</v>
      </c>
      <c r="R11" s="2882">
        <f t="shared" si="0"/>
        <v>0</v>
      </c>
      <c r="S11" s="2836"/>
      <c r="T11" s="2836"/>
      <c r="U11" s="2836"/>
      <c r="V11" s="2844"/>
    </row>
    <row r="12" spans="1:22" s="2848" customFormat="1" ht="13.15" customHeight="1">
      <c r="A12" s="2891" t="s">
        <v>2359</v>
      </c>
      <c r="B12" s="3732" t="s">
        <v>2360</v>
      </c>
      <c r="C12" s="3733"/>
      <c r="D12" s="2892">
        <f ca="1">ROUND(D13*1.2%*(1-30%),0)</f>
        <v>3</v>
      </c>
      <c r="E12" s="2893">
        <v>1.2E-2</v>
      </c>
      <c r="F12" s="2886" t="s">
        <v>2361</v>
      </c>
      <c r="G12" s="2887"/>
      <c r="H12" s="2843"/>
      <c r="I12" s="2844"/>
      <c r="J12" s="3722"/>
      <c r="K12" s="3724"/>
      <c r="L12" s="2878" t="s">
        <v>2362</v>
      </c>
      <c r="M12" s="2879"/>
      <c r="N12" s="2855"/>
      <c r="O12" s="2880"/>
      <c r="P12" s="2880"/>
      <c r="Q12" s="2881">
        <v>365</v>
      </c>
      <c r="R12" s="2882">
        <f t="shared" si="0"/>
        <v>0</v>
      </c>
      <c r="S12" s="2836"/>
      <c r="T12" s="2836"/>
      <c r="U12" s="2836"/>
      <c r="V12" s="2844"/>
    </row>
    <row r="13" spans="1:22" s="2848" customFormat="1" ht="13.15" customHeight="1">
      <c r="A13" s="2891"/>
      <c r="B13" s="2894"/>
      <c r="C13" s="2895" t="s">
        <v>2363</v>
      </c>
      <c r="D13" s="2896">
        <f ca="1">收益法!C29</f>
        <v>348</v>
      </c>
      <c r="E13" s="2897"/>
      <c r="F13" s="2886"/>
      <c r="G13" s="2887"/>
      <c r="H13" s="2843"/>
      <c r="I13" s="2844"/>
      <c r="J13" s="3722"/>
      <c r="K13" s="3724"/>
      <c r="L13" s="2878" t="s">
        <v>2364</v>
      </c>
      <c r="M13" s="2879"/>
      <c r="N13" s="2855"/>
      <c r="O13" s="2880"/>
      <c r="P13" s="2880"/>
      <c r="Q13" s="2881">
        <v>365</v>
      </c>
      <c r="R13" s="2882">
        <f t="shared" si="0"/>
        <v>0</v>
      </c>
      <c r="S13" s="2836"/>
      <c r="T13" s="2836"/>
      <c r="U13" s="2836"/>
      <c r="V13" s="2844"/>
    </row>
    <row r="14" spans="1:22" s="2848" customFormat="1" ht="13.15" customHeight="1">
      <c r="A14" s="2891" t="s">
        <v>2365</v>
      </c>
      <c r="B14" s="3732" t="s">
        <v>2366</v>
      </c>
      <c r="C14" s="3733"/>
      <c r="D14" s="2892">
        <f>ROUND(E14*B5/10000,0)</f>
        <v>0</v>
      </c>
      <c r="E14" s="2881">
        <f>收益法!F34</f>
        <v>12</v>
      </c>
      <c r="F14" s="2886" t="s">
        <v>2367</v>
      </c>
      <c r="G14" s="2887"/>
      <c r="H14" s="2843"/>
      <c r="I14" s="2844"/>
      <c r="J14" s="3722"/>
      <c r="K14" s="3725"/>
      <c r="L14" s="2898" t="s">
        <v>2368</v>
      </c>
      <c r="M14" s="2899">
        <f>SUM(M7:M13)</f>
        <v>42</v>
      </c>
      <c r="N14" s="2899">
        <f>ROUND((N7*M7+N8*M8+N9*M9+N10*M10+N11*M11+N12*M12+N13*M13)/M14,0)</f>
        <v>860</v>
      </c>
      <c r="O14" s="2900"/>
      <c r="P14" s="2900"/>
      <c r="Q14" s="2901"/>
      <c r="R14" s="2847">
        <f>SUM(R7:R13)</f>
        <v>1318</v>
      </c>
      <c r="S14" s="2836"/>
      <c r="T14" s="2836"/>
      <c r="U14" s="2836"/>
      <c r="V14" s="2844"/>
    </row>
    <row r="15" spans="1:22" s="2848" customFormat="1" ht="13.15" customHeight="1">
      <c r="A15" s="2891" t="s">
        <v>2369</v>
      </c>
      <c r="B15" s="3732" t="s">
        <v>2370</v>
      </c>
      <c r="C15" s="3733"/>
      <c r="D15" s="2892">
        <f>ROUND(D6*E15,0)</f>
        <v>225</v>
      </c>
      <c r="E15" s="2893">
        <v>5.5E-2</v>
      </c>
      <c r="F15" s="2886" t="s">
        <v>2371</v>
      </c>
      <c r="G15" s="2868"/>
      <c r="H15" s="2843"/>
      <c r="I15" s="2844"/>
      <c r="J15" s="3722">
        <v>2</v>
      </c>
      <c r="K15" s="3723" t="s">
        <v>2372</v>
      </c>
      <c r="L15" s="2878" t="s">
        <v>2373</v>
      </c>
      <c r="M15" s="2879" t="s">
        <v>2374</v>
      </c>
      <c r="N15" s="2879" t="s">
        <v>2375</v>
      </c>
      <c r="O15" s="2880" t="s">
        <v>2376</v>
      </c>
      <c r="P15" s="2880" t="s">
        <v>2339</v>
      </c>
      <c r="Q15" s="2855" t="s">
        <v>2377</v>
      </c>
      <c r="R15" s="2902" t="s">
        <v>2340</v>
      </c>
      <c r="S15" s="2836"/>
      <c r="T15" s="2836"/>
      <c r="U15" s="2836"/>
      <c r="V15" s="2844"/>
    </row>
    <row r="16" spans="1:22" s="2848" customFormat="1" ht="13.15" customHeight="1">
      <c r="A16" s="2891" t="s">
        <v>2378</v>
      </c>
      <c r="B16" s="3732" t="s">
        <v>2379</v>
      </c>
      <c r="C16" s="3733"/>
      <c r="D16" s="2903">
        <f>D6*E16</f>
        <v>0</v>
      </c>
      <c r="E16" s="2904">
        <v>0</v>
      </c>
      <c r="F16" s="2889" t="s">
        <v>2380</v>
      </c>
      <c r="G16" s="2868"/>
      <c r="H16" s="2843"/>
      <c r="I16" s="2844"/>
      <c r="J16" s="3722"/>
      <c r="K16" s="3724"/>
      <c r="L16" s="2878" t="s">
        <v>2381</v>
      </c>
      <c r="M16" s="2879"/>
      <c r="N16" s="2879"/>
      <c r="O16" s="2880"/>
      <c r="P16" s="2881">
        <v>365</v>
      </c>
      <c r="Q16" s="2855"/>
      <c r="R16" s="2902">
        <f>ROUND(M16*N16*O16*P16/10000,0)</f>
        <v>0</v>
      </c>
      <c r="S16" s="2836"/>
      <c r="T16" s="2836"/>
      <c r="U16" s="2836"/>
      <c r="V16" s="2844"/>
    </row>
    <row r="17" spans="1:22" s="2848" customFormat="1" ht="13.15" customHeight="1" thickBot="1">
      <c r="A17" s="2905">
        <v>4</v>
      </c>
      <c r="B17" s="3734" t="s">
        <v>2382</v>
      </c>
      <c r="C17" s="3735"/>
      <c r="D17" s="2906">
        <f>ROUND(D6*E17,0)</f>
        <v>123</v>
      </c>
      <c r="E17" s="2907">
        <v>0.03</v>
      </c>
      <c r="F17" s="2908" t="s">
        <v>2383</v>
      </c>
      <c r="G17" s="2868"/>
      <c r="H17" s="2843"/>
      <c r="I17" s="2844"/>
      <c r="J17" s="3722"/>
      <c r="K17" s="3724"/>
      <c r="L17" s="2878" t="s">
        <v>2384</v>
      </c>
      <c r="M17" s="2879"/>
      <c r="N17" s="2879"/>
      <c r="O17" s="2880"/>
      <c r="P17" s="2881">
        <v>365</v>
      </c>
      <c r="Q17" s="2855"/>
      <c r="R17" s="2902">
        <f>ROUND(M17*N17*O17*P17/10000,0)</f>
        <v>0</v>
      </c>
      <c r="S17" s="2836"/>
      <c r="T17" s="2836"/>
      <c r="U17" s="2836"/>
      <c r="V17" s="2844"/>
    </row>
    <row r="18" spans="1:22" s="2848" customFormat="1" ht="13.15" customHeight="1" thickBot="1">
      <c r="A18" s="2871" t="s">
        <v>2385</v>
      </c>
      <c r="B18" s="2872"/>
      <c r="C18" s="2872"/>
      <c r="D18" s="2909">
        <f>ROUND(D6*E18,0)</f>
        <v>327</v>
      </c>
      <c r="E18" s="2910">
        <v>0.08</v>
      </c>
      <c r="F18" s="2911" t="s">
        <v>2386</v>
      </c>
      <c r="G18" s="2868"/>
      <c r="H18" s="2843"/>
      <c r="I18" s="2844"/>
      <c r="J18" s="3722"/>
      <c r="K18" s="3724"/>
      <c r="L18" s="2878" t="s">
        <v>2387</v>
      </c>
      <c r="M18" s="2879"/>
      <c r="N18" s="2879"/>
      <c r="O18" s="2880"/>
      <c r="P18" s="2881">
        <v>365</v>
      </c>
      <c r="Q18" s="2855"/>
      <c r="R18" s="2902">
        <f>ROUND(M18*N18*O18*P18/10000,0)</f>
        <v>0</v>
      </c>
      <c r="S18" s="2836"/>
      <c r="T18" s="2836"/>
      <c r="U18" s="2836"/>
      <c r="V18" s="2844"/>
    </row>
    <row r="19" spans="1:22" s="2848" customFormat="1" ht="13.15" customHeight="1" thickBot="1">
      <c r="A19" s="2912" t="s">
        <v>2388</v>
      </c>
      <c r="B19" s="2866"/>
      <c r="C19" s="2866"/>
      <c r="D19" s="2866"/>
      <c r="E19" s="2866"/>
      <c r="F19" s="2867"/>
      <c r="G19" s="2887"/>
      <c r="H19" s="2843"/>
      <c r="I19" s="2844"/>
      <c r="J19" s="3722"/>
      <c r="K19" s="3725"/>
      <c r="L19" s="2898" t="s">
        <v>2368</v>
      </c>
      <c r="M19" s="2899"/>
      <c r="N19" s="2899">
        <f>SUM(N16:N18)</f>
        <v>0</v>
      </c>
      <c r="O19" s="2900"/>
      <c r="P19" s="2913" t="s">
        <v>3405</v>
      </c>
      <c r="Q19" s="2880">
        <v>1.5</v>
      </c>
      <c r="R19" s="2914">
        <f>ROUND(IF(P19="按比例",R14*Q19,SUM(R16:R18)),0)</f>
        <v>1977</v>
      </c>
      <c r="S19" s="2836"/>
      <c r="T19" s="2836"/>
      <c r="U19" s="2836"/>
      <c r="V19" s="2844"/>
    </row>
    <row r="20" spans="1:22" s="2848" customFormat="1" ht="13.15" customHeight="1">
      <c r="A20" s="2871"/>
      <c r="B20" s="2872"/>
      <c r="C20" s="2872"/>
      <c r="D20" s="2872"/>
      <c r="E20" s="2872"/>
      <c r="F20" s="2915"/>
      <c r="G20" s="2887"/>
      <c r="H20" s="2843"/>
      <c r="I20" s="2844"/>
      <c r="J20" s="3722">
        <v>3</v>
      </c>
      <c r="K20" s="3723" t="s">
        <v>2389</v>
      </c>
      <c r="L20" s="2878" t="s">
        <v>2390</v>
      </c>
      <c r="M20" s="2879" t="s">
        <v>2391</v>
      </c>
      <c r="N20" s="2916" t="s">
        <v>2392</v>
      </c>
      <c r="O20" s="2880" t="s">
        <v>2393</v>
      </c>
      <c r="P20" s="2881" t="s">
        <v>2394</v>
      </c>
      <c r="Q20" s="2855" t="s">
        <v>2395</v>
      </c>
      <c r="R20" s="2902" t="s">
        <v>2396</v>
      </c>
      <c r="S20" s="2917"/>
      <c r="T20" s="2917"/>
      <c r="U20" s="2917"/>
      <c r="V20" s="2844"/>
    </row>
    <row r="21" spans="1:22" s="2848" customFormat="1" ht="13.15" customHeight="1">
      <c r="A21" s="2871"/>
      <c r="B21" s="2872"/>
      <c r="C21" s="2918" t="s">
        <v>2397</v>
      </c>
      <c r="D21" s="2919" t="s">
        <v>2398</v>
      </c>
      <c r="E21" s="2920" t="s">
        <v>2399</v>
      </c>
      <c r="F21" s="2915"/>
      <c r="G21" s="2887"/>
      <c r="H21" s="2843"/>
      <c r="I21" s="2844"/>
      <c r="J21" s="3722"/>
      <c r="K21" s="3724"/>
      <c r="L21" s="2878" t="s">
        <v>2400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2401</v>
      </c>
      <c r="D22" s="2923" t="s">
        <v>2402</v>
      </c>
      <c r="E22" s="2924" t="s">
        <v>2403</v>
      </c>
      <c r="F22" s="2915"/>
      <c r="G22" s="2925"/>
      <c r="H22" s="2843"/>
      <c r="I22" s="2844"/>
      <c r="J22" s="3722"/>
      <c r="K22" s="3724"/>
      <c r="L22" s="2878" t="s">
        <v>2404</v>
      </c>
      <c r="M22" s="2879"/>
      <c r="N22" s="2879"/>
      <c r="O22" s="2880"/>
      <c r="P22" s="2881">
        <v>365</v>
      </c>
      <c r="Q22" s="2855"/>
      <c r="R22" s="2921">
        <f>ROUND(M22*N22*O22*P22/10000,0)</f>
        <v>0</v>
      </c>
      <c r="S22" s="2917"/>
      <c r="T22" s="2917"/>
      <c r="U22" s="2917"/>
      <c r="V22" s="2844"/>
    </row>
    <row r="23" spans="1:22" s="2848" customFormat="1" ht="13.15" customHeight="1">
      <c r="A23" s="2926">
        <v>1</v>
      </c>
      <c r="B23" s="2927" t="s">
        <v>2405</v>
      </c>
      <c r="C23" s="2928">
        <f>D6</f>
        <v>4086</v>
      </c>
      <c r="D23" s="2929">
        <f>C23*(1+D24)</f>
        <v>4086</v>
      </c>
      <c r="E23" s="2930">
        <f>D23*(1+E24)</f>
        <v>4086</v>
      </c>
      <c r="F23" s="2931"/>
      <c r="G23" s="2932"/>
      <c r="H23" s="2843"/>
      <c r="I23" s="2844"/>
      <c r="J23" s="3722"/>
      <c r="K23" s="3724"/>
      <c r="L23" s="2878" t="s">
        <v>2406</v>
      </c>
      <c r="M23" s="2879"/>
      <c r="N23" s="2879"/>
      <c r="O23" s="2880"/>
      <c r="P23" s="2881">
        <v>365</v>
      </c>
      <c r="Q23" s="2855"/>
      <c r="R23" s="2921">
        <f>ROUND(M23*N23*O23*P23/10000,0)</f>
        <v>0</v>
      </c>
      <c r="S23" s="2836"/>
      <c r="T23" s="2836"/>
      <c r="U23" s="2836"/>
      <c r="V23" s="2844"/>
    </row>
    <row r="24" spans="1:22" s="2848" customFormat="1" ht="13.15" customHeight="1">
      <c r="A24" s="2933"/>
      <c r="B24" s="2934" t="s">
        <v>2407</v>
      </c>
      <c r="C24" s="2935"/>
      <c r="D24" s="2936"/>
      <c r="E24" s="2937"/>
      <c r="F24" s="2938"/>
      <c r="G24" s="2932"/>
      <c r="H24" s="2843"/>
      <c r="I24" s="2844"/>
      <c r="J24" s="3722"/>
      <c r="K24" s="3725"/>
      <c r="L24" s="2898" t="s">
        <v>2368</v>
      </c>
      <c r="M24" s="2899">
        <f>SUM(M21:M23)</f>
        <v>0</v>
      </c>
      <c r="N24" s="2899"/>
      <c r="O24" s="2900"/>
      <c r="P24" s="2913" t="s">
        <v>3405</v>
      </c>
      <c r="Q24" s="2880">
        <v>0</v>
      </c>
      <c r="R24" s="2914">
        <f>ROUND(IF(P24="按比例",R14*Q24,SUM(R21:R23)),0)</f>
        <v>0</v>
      </c>
      <c r="S24" s="2836"/>
      <c r="T24" s="2836"/>
      <c r="U24" s="2836"/>
      <c r="V24" s="2844"/>
    </row>
    <row r="25" spans="1:22" s="2945" customFormat="1" ht="13.15" customHeight="1">
      <c r="A25" s="2933"/>
      <c r="B25" s="2934"/>
      <c r="C25" s="2935"/>
      <c r="D25" s="2936"/>
      <c r="E25" s="2936"/>
      <c r="F25" s="2938"/>
      <c r="G25" s="2925"/>
      <c r="H25" s="2843"/>
      <c r="I25" s="2844"/>
      <c r="J25" s="2939">
        <v>4</v>
      </c>
      <c r="K25" s="2940" t="s">
        <v>2408</v>
      </c>
      <c r="L25" s="2941"/>
      <c r="M25" s="2941"/>
      <c r="N25" s="2941"/>
      <c r="O25" s="2941"/>
      <c r="P25" s="2942"/>
      <c r="Q25" s="2943">
        <v>0.6</v>
      </c>
      <c r="R25" s="2914">
        <f>ROUND(R14*Q25,0)</f>
        <v>791</v>
      </c>
      <c r="S25" s="2836"/>
      <c r="T25" s="2836"/>
      <c r="U25" s="2836"/>
      <c r="V25" s="2944"/>
    </row>
    <row r="26" spans="1:22" s="2945" customFormat="1" ht="13.15" customHeight="1">
      <c r="A26" s="2926">
        <v>2</v>
      </c>
      <c r="B26" s="2927" t="s">
        <v>2409</v>
      </c>
      <c r="C26" s="2928">
        <f ca="1">D7</f>
        <v>2394</v>
      </c>
      <c r="D26" s="2929">
        <f>D23*D27</f>
        <v>0</v>
      </c>
      <c r="E26" s="2930">
        <f>E23*E27</f>
        <v>2451.6</v>
      </c>
      <c r="F26" s="2931"/>
      <c r="G26" s="2932"/>
      <c r="H26" s="2843"/>
      <c r="I26" s="2844"/>
      <c r="J26" s="3726">
        <v>5</v>
      </c>
      <c r="K26" s="2946" t="s">
        <v>2410</v>
      </c>
      <c r="L26" s="2947"/>
      <c r="M26" s="2948"/>
      <c r="N26" s="2949" t="s">
        <v>2411</v>
      </c>
      <c r="O26" s="2949" t="s">
        <v>2412</v>
      </c>
      <c r="P26" s="2950" t="s">
        <v>2413</v>
      </c>
      <c r="Q26" s="2950" t="s">
        <v>2414</v>
      </c>
      <c r="R26" s="2853" t="s">
        <v>2340</v>
      </c>
      <c r="S26" s="2951"/>
      <c r="T26" s="2951"/>
      <c r="U26" s="2951"/>
      <c r="V26" s="2944"/>
    </row>
    <row r="27" spans="1:22" s="2848" customFormat="1" ht="13.15" customHeight="1">
      <c r="A27" s="2933"/>
      <c r="B27" s="2934" t="s">
        <v>2415</v>
      </c>
      <c r="C27" s="2952">
        <f ca="1">E7</f>
        <v>0.58580029368575626</v>
      </c>
      <c r="D27" s="2936"/>
      <c r="E27" s="2937">
        <v>0.6</v>
      </c>
      <c r="F27" s="2938"/>
      <c r="G27" s="2932"/>
      <c r="H27" s="2953"/>
      <c r="I27" s="2944"/>
      <c r="J27" s="3727"/>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2416</v>
      </c>
      <c r="F28" s="2938"/>
      <c r="G28" s="2925"/>
      <c r="H28" s="2953"/>
      <c r="I28" s="2944"/>
      <c r="J28" s="2959">
        <v>6</v>
      </c>
      <c r="K28" s="2960" t="s">
        <v>2417</v>
      </c>
      <c r="L28" s="2961" t="s">
        <v>2418</v>
      </c>
      <c r="M28" s="2962"/>
      <c r="N28" s="2961" t="s">
        <v>2419</v>
      </c>
      <c r="O28" s="2963"/>
      <c r="P28" s="2961" t="s">
        <v>2420</v>
      </c>
      <c r="Q28" s="2964">
        <v>1.4999999999999999E-2</v>
      </c>
      <c r="R28" s="2965"/>
      <c r="S28" s="2917"/>
      <c r="T28" s="2917"/>
      <c r="U28" s="2917"/>
      <c r="V28" s="2944"/>
    </row>
    <row r="29" spans="1:22" s="2945" customFormat="1" ht="13.15" customHeight="1">
      <c r="A29" s="2926">
        <v>3</v>
      </c>
      <c r="B29" s="2927" t="s">
        <v>2421</v>
      </c>
      <c r="C29" s="2928">
        <f>C23*C30</f>
        <v>326.88</v>
      </c>
      <c r="D29" s="2929">
        <f>D23*C30</f>
        <v>326.88</v>
      </c>
      <c r="E29" s="2930">
        <f>E23*C30</f>
        <v>326.88</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2415</v>
      </c>
      <c r="C30" s="2952">
        <f>E18</f>
        <v>0.08</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2422</v>
      </c>
      <c r="K31" s="2834"/>
      <c r="L31" s="2834"/>
      <c r="M31" s="2834"/>
      <c r="N31" s="2834"/>
      <c r="O31" s="2834"/>
      <c r="P31" s="2834"/>
      <c r="Q31" s="2834"/>
      <c r="R31" s="2835"/>
      <c r="S31" s="2917"/>
      <c r="T31" s="2836"/>
      <c r="U31" s="2836"/>
      <c r="V31" s="2944"/>
    </row>
    <row r="32" spans="1:22" s="2945" customFormat="1" ht="13.15" customHeight="1">
      <c r="A32" s="2926">
        <v>4</v>
      </c>
      <c r="B32" s="2927" t="s">
        <v>2423</v>
      </c>
      <c r="C32" s="2928">
        <f ca="1">C23-C26-C29</f>
        <v>1365.12</v>
      </c>
      <c r="D32" s="2929">
        <f>D23-D26-D29</f>
        <v>3759.12</v>
      </c>
      <c r="E32" s="2930">
        <f>E23-E26-E29</f>
        <v>1307.52</v>
      </c>
      <c r="F32" s="2931"/>
      <c r="G32" s="2925"/>
      <c r="H32" s="2843"/>
      <c r="I32" s="2844"/>
      <c r="J32" s="3728" t="s">
        <v>2316</v>
      </c>
      <c r="K32" s="3729"/>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30" t="s">
        <v>2326</v>
      </c>
      <c r="K33" s="3731"/>
      <c r="L33" s="2851"/>
      <c r="M33" s="2851"/>
      <c r="N33" s="2851"/>
      <c r="O33" s="2851"/>
      <c r="P33" s="2851"/>
      <c r="Q33" s="2852"/>
      <c r="R33" s="2971">
        <f>SUM(L33:Q33)</f>
        <v>0</v>
      </c>
      <c r="S33" s="2917"/>
      <c r="T33" s="2836"/>
      <c r="U33" s="2836"/>
      <c r="V33" s="2844"/>
    </row>
    <row r="34" spans="1:23" s="2848" customFormat="1" ht="13.15" customHeight="1">
      <c r="A34" s="2926">
        <v>5</v>
      </c>
      <c r="B34" s="2927" t="s">
        <v>2424</v>
      </c>
      <c r="C34" s="2972">
        <f>'数据-取费表'!I6</f>
        <v>5.5E-2</v>
      </c>
      <c r="D34" s="2976">
        <f>C34</f>
        <v>5.5E-2</v>
      </c>
      <c r="E34" s="2973">
        <f>'数据-取费表'!I6</f>
        <v>5.5E-2</v>
      </c>
      <c r="F34" s="2931"/>
      <c r="G34" s="2925"/>
      <c r="H34" s="2953"/>
      <c r="I34" s="2944"/>
      <c r="J34" s="3730" t="s">
        <v>2328</v>
      </c>
      <c r="K34" s="3731"/>
      <c r="L34" s="2856"/>
      <c r="M34" s="2856"/>
      <c r="N34" s="2856"/>
      <c r="O34" s="2856"/>
      <c r="P34" s="2856"/>
      <c r="Q34" s="2857"/>
      <c r="R34" s="2974">
        <f>SUM(L34:Q34)</f>
        <v>0</v>
      </c>
      <c r="S34" s="2917"/>
      <c r="T34" s="2836"/>
      <c r="U34" s="2836" t="e">
        <f>ROUND(R35*10000/365/R33,1)</f>
        <v>#DIV/0!</v>
      </c>
      <c r="V34" s="2844"/>
    </row>
    <row r="35" spans="1:23" s="2848" customFormat="1" ht="13.15" customHeight="1">
      <c r="A35" s="2926">
        <v>6</v>
      </c>
      <c r="B35" s="2927" t="s">
        <v>2425</v>
      </c>
      <c r="C35" s="2975"/>
      <c r="D35" s="2976"/>
      <c r="E35" s="2977">
        <v>0.02</v>
      </c>
      <c r="F35" s="2931"/>
      <c r="G35" s="2978"/>
      <c r="H35" s="2843"/>
      <c r="I35" s="2944"/>
      <c r="J35" s="2862" t="s">
        <v>2330</v>
      </c>
      <c r="K35" s="2863"/>
      <c r="L35" s="2863"/>
      <c r="M35" s="2864"/>
      <c r="N35" s="2864"/>
      <c r="O35" s="2864"/>
      <c r="P35" s="2864"/>
      <c r="Q35" s="2864"/>
      <c r="R35" s="2979">
        <f>R40+R41+R43</f>
        <v>0</v>
      </c>
      <c r="S35" s="2917"/>
      <c r="T35" s="2836" t="s">
        <v>2331</v>
      </c>
      <c r="U35" s="2836"/>
      <c r="V35" s="2844"/>
    </row>
    <row r="36" spans="1:23" s="2848" customFormat="1" ht="13.15" customHeight="1" thickBot="1">
      <c r="A36" s="2926">
        <v>7</v>
      </c>
      <c r="B36" s="2980" t="s">
        <v>2426</v>
      </c>
      <c r="C36" s="2981">
        <v>0</v>
      </c>
      <c r="D36" s="2982">
        <v>0</v>
      </c>
      <c r="E36" s="2983">
        <f>'数据-取费表'!F6</f>
        <v>20.05</v>
      </c>
      <c r="F36" s="2984">
        <f>C36+D36+E36</f>
        <v>20.05</v>
      </c>
      <c r="G36" s="2925"/>
      <c r="H36" s="2843"/>
      <c r="I36" s="2844"/>
      <c r="J36" s="3722">
        <v>1</v>
      </c>
      <c r="K36" s="3723" t="s">
        <v>2427</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22"/>
      <c r="K37" s="3724"/>
      <c r="L37" s="2878"/>
      <c r="M37" s="2879"/>
      <c r="N37" s="2855"/>
      <c r="O37" s="2880"/>
      <c r="P37" s="2880"/>
      <c r="Q37" s="2881"/>
      <c r="R37" s="2882"/>
      <c r="S37" s="2917"/>
      <c r="T37" s="2836" t="s">
        <v>2343</v>
      </c>
      <c r="U37" s="2836"/>
      <c r="V37" s="2844"/>
    </row>
    <row r="38" spans="1:23" s="2848" customFormat="1" ht="13.15" customHeight="1">
      <c r="A38" s="2926">
        <v>8</v>
      </c>
      <c r="B38" s="2927"/>
      <c r="C38" s="2884">
        <f ca="1">ROUND(C32*(1-((1+C35)/(1+C34))^C36)/(C34-C35),0)</f>
        <v>0</v>
      </c>
      <c r="D38" s="2884">
        <f>IF(D23=0,0,ROUND(D32*(1-((1+D35)/(1+D34))^D36)/(D34-D35),0))</f>
        <v>0</v>
      </c>
      <c r="E38" s="2884">
        <f>IF(E23=0,0,ROUND(E32*(1-((1+E35)/(1+E34))^E36)/(E34-E35),0))</f>
        <v>18364</v>
      </c>
      <c r="F38" s="2931"/>
      <c r="G38" s="2925"/>
      <c r="H38" s="2843"/>
      <c r="I38" s="2844"/>
      <c r="J38" s="3722"/>
      <c r="K38" s="3724"/>
      <c r="L38" s="2878"/>
      <c r="M38" s="2879"/>
      <c r="N38" s="2855"/>
      <c r="O38" s="2880"/>
      <c r="P38" s="2880"/>
      <c r="Q38" s="2881"/>
      <c r="R38" s="2882"/>
      <c r="S38" s="2917"/>
      <c r="T38" s="2836" t="s">
        <v>2350</v>
      </c>
      <c r="U38" s="2836"/>
      <c r="V38" s="2844"/>
    </row>
    <row r="39" spans="1:23" s="2848" customFormat="1" ht="13.15" customHeight="1">
      <c r="A39" s="2926">
        <v>9</v>
      </c>
      <c r="B39" s="2927" t="s">
        <v>2428</v>
      </c>
      <c r="C39" s="2892">
        <f ca="1">C38</f>
        <v>0</v>
      </c>
      <c r="D39" s="2927">
        <f>D38/(1+D34)^C36</f>
        <v>0</v>
      </c>
      <c r="E39" s="2927">
        <f>E38/(1+E34)^(C36+D36)</f>
        <v>18364</v>
      </c>
      <c r="F39" s="2931"/>
      <c r="G39" s="2985"/>
      <c r="H39" s="2843"/>
      <c r="I39" s="2844"/>
      <c r="J39" s="3722"/>
      <c r="K39" s="3724"/>
      <c r="L39" s="2878"/>
      <c r="M39" s="2879"/>
      <c r="N39" s="2855"/>
      <c r="O39" s="2880"/>
      <c r="P39" s="2880"/>
      <c r="Q39" s="2881"/>
      <c r="R39" s="2882"/>
      <c r="S39" s="2917"/>
      <c r="T39" s="2836"/>
      <c r="U39" s="2836"/>
      <c r="V39" s="2844"/>
    </row>
    <row r="40" spans="1:23" s="2848" customFormat="1" ht="13.15" customHeight="1">
      <c r="A40" s="2986">
        <v>10</v>
      </c>
      <c r="B40" s="2927" t="s">
        <v>2429</v>
      </c>
      <c r="C40" s="2987">
        <f ca="1">C39+D39+E39</f>
        <v>18364</v>
      </c>
      <c r="D40" s="2988"/>
      <c r="E40" s="2988"/>
      <c r="F40" s="2989"/>
      <c r="G40" s="2925"/>
      <c r="H40" s="2843"/>
      <c r="I40" s="2844"/>
      <c r="J40" s="3722"/>
      <c r="K40" s="3725"/>
      <c r="L40" s="2898" t="s">
        <v>2368</v>
      </c>
      <c r="M40" s="2899"/>
      <c r="N40" s="2899"/>
      <c r="O40" s="2900"/>
      <c r="P40" s="2900"/>
      <c r="Q40" s="2901"/>
      <c r="R40" s="2847">
        <f>SUM(R37:R39)</f>
        <v>0</v>
      </c>
      <c r="S40" s="2917"/>
      <c r="T40" s="2836"/>
      <c r="U40" s="2836"/>
      <c r="V40" s="2844"/>
    </row>
    <row r="41" spans="1:23" s="2848" customFormat="1" ht="13.15" customHeight="1" thickBot="1">
      <c r="A41" s="2990">
        <v>11</v>
      </c>
      <c r="B41" s="2991" t="s">
        <v>2430</v>
      </c>
      <c r="C41" s="2991">
        <f ca="1">ROUND(C40*10000/B4,0)</f>
        <v>300497</v>
      </c>
      <c r="D41" s="2992"/>
      <c r="E41" s="2992"/>
      <c r="F41" s="2993"/>
      <c r="G41" s="2994"/>
      <c r="H41" s="2843"/>
      <c r="I41" s="2844"/>
      <c r="J41" s="2939">
        <v>2</v>
      </c>
      <c r="K41" s="2940" t="s">
        <v>2408</v>
      </c>
      <c r="L41" s="2941"/>
      <c r="M41" s="2941"/>
      <c r="N41" s="2941"/>
      <c r="O41" s="2941"/>
      <c r="P41" s="2942"/>
      <c r="Q41" s="2943"/>
      <c r="R41" s="2914">
        <f>ROUND(R40*Q41,0)</f>
        <v>0</v>
      </c>
      <c r="S41" s="2917"/>
      <c r="T41" s="2836"/>
      <c r="U41" s="2951"/>
      <c r="V41" s="2844"/>
    </row>
    <row r="42" spans="1:23" s="2848" customFormat="1" ht="13.15" customHeight="1">
      <c r="G42" s="2994"/>
      <c r="H42" s="2843"/>
      <c r="I42" s="2844"/>
      <c r="J42" s="3726">
        <v>3</v>
      </c>
      <c r="K42" s="2946" t="s">
        <v>2410</v>
      </c>
      <c r="L42" s="2947"/>
      <c r="M42" s="2948"/>
      <c r="N42" s="2949" t="s">
        <v>2411</v>
      </c>
      <c r="O42" s="2949" t="s">
        <v>2412</v>
      </c>
      <c r="P42" s="2950" t="s">
        <v>2413</v>
      </c>
      <c r="Q42" s="2950" t="s">
        <v>2414</v>
      </c>
      <c r="R42" s="2853" t="s">
        <v>2340</v>
      </c>
      <c r="S42" s="2951"/>
      <c r="T42" s="2951"/>
      <c r="U42" s="2836"/>
      <c r="V42" s="2844"/>
    </row>
    <row r="43" spans="1:23" ht="13.15" customHeight="1">
      <c r="A43" s="2848"/>
      <c r="B43" s="2848"/>
      <c r="C43" s="2848"/>
      <c r="D43" s="2848"/>
      <c r="E43" s="2848"/>
      <c r="F43" s="2848"/>
      <c r="I43" s="2831"/>
      <c r="J43" s="3727"/>
      <c r="K43" s="2954"/>
      <c r="L43" s="2955"/>
      <c r="M43" s="2956"/>
      <c r="N43" s="2879"/>
      <c r="O43" s="2879"/>
      <c r="P43" s="2879"/>
      <c r="Q43" s="2943"/>
      <c r="R43" s="2914">
        <f>ROUND(O43*N43*P43*(1-Q43)/10000,0)</f>
        <v>0</v>
      </c>
      <c r="S43" s="2917"/>
      <c r="T43" s="2836"/>
      <c r="V43" s="2996"/>
      <c r="W43" s="2997"/>
    </row>
    <row r="44" spans="1:23" ht="13.15" customHeight="1" thickBot="1">
      <c r="J44" s="2959">
        <v>6</v>
      </c>
      <c r="K44" s="2960" t="s">
        <v>2417</v>
      </c>
      <c r="L44" s="2998" t="s">
        <v>2418</v>
      </c>
      <c r="M44" s="2962"/>
      <c r="N44" s="2998" t="s">
        <v>2419</v>
      </c>
      <c r="O44" s="2962"/>
      <c r="P44" s="2998" t="s">
        <v>2420</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1139.3752999999999</v>
      </c>
      <c r="C2" s="1872" t="s">
        <v>1651</v>
      </c>
      <c r="D2" s="1873" t="s">
        <v>1652</v>
      </c>
      <c r="E2" s="2603">
        <f>SUM(E6:E13)</f>
        <v>611.12</v>
      </c>
      <c r="F2" s="2702"/>
      <c r="G2" s="1489"/>
      <c r="H2" s="1489"/>
      <c r="I2" s="1489"/>
      <c r="J2" s="1489"/>
      <c r="K2" s="1489"/>
      <c r="L2" s="1489"/>
      <c r="M2" s="1489"/>
      <c r="N2" s="1489"/>
      <c r="O2" s="1489"/>
      <c r="P2" s="1489"/>
      <c r="Q2" s="1489"/>
      <c r="R2" s="1489"/>
      <c r="S2" s="1489"/>
    </row>
    <row r="3" spans="1:22" ht="15.75">
      <c r="A3" s="1870" t="s">
        <v>686</v>
      </c>
      <c r="B3" s="2597">
        <f ca="1">ROUND(B2*10000/E2,0)</f>
        <v>18644</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9" t="s">
        <v>1653</v>
      </c>
      <c r="B5" s="3741" t="s">
        <v>1654</v>
      </c>
      <c r="C5" s="3742"/>
      <c r="D5" s="2703"/>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1139.3752999999999</v>
      </c>
      <c r="C6" s="1872" t="s">
        <v>1651</v>
      </c>
      <c r="D6" s="2704"/>
      <c r="E6" s="2602">
        <f>IF(OR(A6=0,F6="否"),0,'数据-取费表'!K6+'数据-取费表'!S6)</f>
        <v>611.12</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4"/>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4"/>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4"/>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4"/>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4"/>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4"/>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5"/>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611.12</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0"/>
      <c r="M4" s="2711"/>
      <c r="N4" s="2711"/>
      <c r="O4" s="2711"/>
      <c r="P4" s="3704" t="s">
        <v>1672</v>
      </c>
      <c r="Q4" s="3705"/>
      <c r="R4" s="3691" t="s">
        <v>1668</v>
      </c>
      <c r="S4" s="3692"/>
      <c r="T4" s="3691" t="s">
        <v>1669</v>
      </c>
      <c r="U4" s="3692"/>
      <c r="V4" s="3686" t="s">
        <v>1670</v>
      </c>
      <c r="W4" s="3686"/>
      <c r="X4" s="1355"/>
      <c r="Y4" s="3691" t="s">
        <v>1672</v>
      </c>
      <c r="Z4" s="3692"/>
      <c r="AA4" s="3697" t="s">
        <v>1668</v>
      </c>
      <c r="AB4" s="3697" t="s">
        <v>1669</v>
      </c>
      <c r="AC4" s="3697" t="s">
        <v>1670</v>
      </c>
    </row>
    <row r="5" spans="1:29" ht="15">
      <c r="A5" s="358"/>
      <c r="B5" s="359"/>
      <c r="C5" s="3710" t="s">
        <v>1673</v>
      </c>
      <c r="D5" s="3711"/>
      <c r="E5" s="3746" t="s">
        <v>1674</v>
      </c>
      <c r="F5" s="3713"/>
      <c r="G5" s="3710" t="s">
        <v>1675</v>
      </c>
      <c r="H5" s="3711"/>
      <c r="I5" s="3710" t="s">
        <v>1676</v>
      </c>
      <c r="J5" s="3711"/>
      <c r="K5" s="1890"/>
      <c r="L5" s="2710"/>
      <c r="M5" s="2711"/>
      <c r="N5" s="2711"/>
      <c r="O5" s="2711"/>
      <c r="P5" s="3706"/>
      <c r="Q5" s="3707"/>
      <c r="R5" s="3693"/>
      <c r="S5" s="3694"/>
      <c r="T5" s="3693"/>
      <c r="U5" s="3694"/>
      <c r="V5" s="3686"/>
      <c r="W5" s="3686"/>
      <c r="X5" s="1355"/>
      <c r="Y5" s="3693"/>
      <c r="Z5" s="3694"/>
      <c r="AA5" s="3698"/>
      <c r="AB5" s="3698"/>
      <c r="AC5" s="3698"/>
    </row>
    <row r="6" spans="1:29" ht="15.75" thickBot="1">
      <c r="A6" s="360"/>
      <c r="B6" s="361"/>
      <c r="C6" s="3743" t="s">
        <v>1677</v>
      </c>
      <c r="D6" s="3716"/>
      <c r="E6" s="3744" t="s">
        <v>1677</v>
      </c>
      <c r="F6" s="3745"/>
      <c r="G6" s="3743" t="s">
        <v>1677</v>
      </c>
      <c r="H6" s="3716"/>
      <c r="I6" s="3743" t="s">
        <v>1677</v>
      </c>
      <c r="J6" s="3716"/>
      <c r="K6" s="1890" t="s">
        <v>1678</v>
      </c>
      <c r="L6" s="2710"/>
      <c r="M6" s="2711"/>
      <c r="N6" s="2711"/>
      <c r="O6" s="2711"/>
      <c r="P6" s="3708"/>
      <c r="Q6" s="3709"/>
      <c r="R6" s="3693"/>
      <c r="S6" s="3694"/>
      <c r="T6" s="3695"/>
      <c r="U6" s="3696"/>
      <c r="V6" s="3686"/>
      <c r="W6" s="3686"/>
      <c r="X6" s="1355"/>
      <c r="Y6" s="3695"/>
      <c r="Z6" s="3696"/>
      <c r="AA6" s="3699"/>
      <c r="AB6" s="3699"/>
      <c r="AC6" s="3699"/>
    </row>
    <row r="7" spans="1:29" s="108" customFormat="1" ht="15.75" thickBot="1">
      <c r="A7" s="362" t="s">
        <v>1679</v>
      </c>
      <c r="B7" s="363"/>
      <c r="C7" s="364">
        <f>'数据-取费表'!B2</f>
        <v>44998</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87" t="s">
        <v>1680</v>
      </c>
      <c r="Q7" s="3688"/>
      <c r="R7" s="701" t="s">
        <v>20</v>
      </c>
      <c r="S7" s="702">
        <f t="shared" ref="S7:S15" si="0">F7</f>
        <v>0</v>
      </c>
      <c r="T7" s="701" t="s">
        <v>20</v>
      </c>
      <c r="U7" s="702">
        <f t="shared" ref="U7:U15" si="1">H7</f>
        <v>0</v>
      </c>
      <c r="V7" s="701" t="s">
        <v>20</v>
      </c>
      <c r="W7" s="702">
        <f t="shared" ref="W7:W15" si="2">J7</f>
        <v>0</v>
      </c>
      <c r="X7" s="703"/>
      <c r="Y7" s="3687" t="s">
        <v>1680</v>
      </c>
      <c r="Z7" s="368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87" t="s">
        <v>1683</v>
      </c>
      <c r="Q8" s="3689"/>
      <c r="R8" s="701" t="s">
        <v>20</v>
      </c>
      <c r="S8" s="702">
        <f t="shared" si="0"/>
        <v>100</v>
      </c>
      <c r="T8" s="701" t="s">
        <v>20</v>
      </c>
      <c r="U8" s="702">
        <f t="shared" si="1"/>
        <v>100</v>
      </c>
      <c r="V8" s="701" t="s">
        <v>20</v>
      </c>
      <c r="W8" s="702">
        <f t="shared" si="2"/>
        <v>100</v>
      </c>
      <c r="X8" s="703"/>
      <c r="Y8" s="3687" t="s">
        <v>1683</v>
      </c>
      <c r="Z8" s="368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90"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690"/>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0"/>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90"/>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90"/>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90"/>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77"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78"/>
      <c r="Q16" s="1352"/>
      <c r="R16" s="705"/>
      <c r="S16" s="706"/>
      <c r="T16" s="705"/>
      <c r="U16" s="706"/>
      <c r="V16" s="705"/>
      <c r="W16" s="706"/>
      <c r="X16" s="1355"/>
      <c r="Y16" s="3680"/>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78"/>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78"/>
      <c r="Q18" s="1352"/>
      <c r="R18" s="705"/>
      <c r="S18" s="706"/>
      <c r="T18" s="705"/>
      <c r="U18" s="706"/>
      <c r="V18" s="705"/>
      <c r="W18" s="706"/>
      <c r="X18" s="1355"/>
      <c r="Y18" s="3680"/>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78"/>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78"/>
      <c r="Q20" s="1352"/>
      <c r="R20" s="705"/>
      <c r="S20" s="706"/>
      <c r="T20" s="705"/>
      <c r="U20" s="706"/>
      <c r="V20" s="705"/>
      <c r="W20" s="706"/>
      <c r="X20" s="1355"/>
      <c r="Y20" s="3680"/>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78"/>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78"/>
      <c r="Q22" s="1352"/>
      <c r="R22" s="705"/>
      <c r="S22" s="706"/>
      <c r="T22" s="705"/>
      <c r="U22" s="706"/>
      <c r="V22" s="705"/>
      <c r="W22" s="706"/>
      <c r="X22" s="1355"/>
      <c r="Y22" s="3680"/>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78"/>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78"/>
      <c r="Q24" s="1352"/>
      <c r="R24" s="705"/>
      <c r="S24" s="706"/>
      <c r="T24" s="705"/>
      <c r="U24" s="706"/>
      <c r="V24" s="705"/>
      <c r="W24" s="706"/>
      <c r="X24" s="1355"/>
      <c r="Y24" s="368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78"/>
      <c r="Q26" s="1352" t="str">
        <f t="shared" si="11"/>
        <v>朝向</v>
      </c>
      <c r="R26" s="705" t="s">
        <v>18</v>
      </c>
      <c r="S26" s="706">
        <f t="shared" si="12"/>
        <v>100</v>
      </c>
      <c r="T26" s="705" t="s">
        <v>18</v>
      </c>
      <c r="U26" s="706">
        <f t="shared" si="13"/>
        <v>100</v>
      </c>
      <c r="V26" s="705" t="s">
        <v>18</v>
      </c>
      <c r="W26" s="706">
        <f t="shared" si="14"/>
        <v>100</v>
      </c>
      <c r="X26" s="1355"/>
      <c r="Y26" s="36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78"/>
      <c r="Q27" s="1343">
        <f t="shared" si="11"/>
        <v>111</v>
      </c>
      <c r="R27" s="701" t="s">
        <v>18</v>
      </c>
      <c r="S27" s="702">
        <f t="shared" si="12"/>
        <v>100</v>
      </c>
      <c r="T27" s="701" t="s">
        <v>18</v>
      </c>
      <c r="U27" s="702">
        <f t="shared" si="13"/>
        <v>100</v>
      </c>
      <c r="V27" s="701" t="s">
        <v>18</v>
      </c>
      <c r="W27" s="702">
        <f t="shared" si="14"/>
        <v>100</v>
      </c>
      <c r="X27" s="703"/>
      <c r="Y27" s="36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78"/>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78"/>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78"/>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78"/>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81" t="s">
        <v>1696</v>
      </c>
      <c r="Q32" s="1352" t="str">
        <f t="shared" si="11"/>
        <v>建筑类型</v>
      </c>
      <c r="R32" s="705" t="s">
        <v>18</v>
      </c>
      <c r="S32" s="706">
        <f t="shared" si="12"/>
        <v>100</v>
      </c>
      <c r="T32" s="705" t="s">
        <v>18</v>
      </c>
      <c r="U32" s="706">
        <f t="shared" si="13"/>
        <v>100</v>
      </c>
      <c r="V32" s="705" t="s">
        <v>18</v>
      </c>
      <c r="W32" s="706">
        <f t="shared" si="14"/>
        <v>100</v>
      </c>
      <c r="X32" s="1355"/>
      <c r="Y32" s="368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82"/>
      <c r="Q33" s="707" t="str">
        <f t="shared" si="11"/>
        <v>项目建筑规模</v>
      </c>
      <c r="R33" s="708" t="s">
        <v>18</v>
      </c>
      <c r="S33" s="709" t="e">
        <f t="shared" si="12"/>
        <v>#N/A</v>
      </c>
      <c r="T33" s="708" t="s">
        <v>18</v>
      </c>
      <c r="U33" s="709" t="e">
        <f t="shared" si="13"/>
        <v>#N/A</v>
      </c>
      <c r="V33" s="708" t="s">
        <v>18</v>
      </c>
      <c r="W33" s="709" t="e">
        <f t="shared" si="14"/>
        <v>#N/A</v>
      </c>
      <c r="X33" s="710"/>
      <c r="Y33" s="368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82"/>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82"/>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82"/>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82"/>
      <c r="Q37" s="1343" t="str">
        <f t="shared" si="11"/>
        <v>成新度</v>
      </c>
      <c r="R37" s="701" t="s">
        <v>18</v>
      </c>
      <c r="S37" s="702" t="e">
        <f t="shared" si="12"/>
        <v>#N/A</v>
      </c>
      <c r="T37" s="701" t="s">
        <v>18</v>
      </c>
      <c r="U37" s="702" t="e">
        <f t="shared" si="13"/>
        <v>#N/A</v>
      </c>
      <c r="V37" s="701" t="s">
        <v>18</v>
      </c>
      <c r="W37" s="702" t="e">
        <f t="shared" si="14"/>
        <v>#N/A</v>
      </c>
      <c r="X37" s="703"/>
      <c r="Y37" s="368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82" t="s">
        <v>1696</v>
      </c>
      <c r="Q38" s="1352" t="str">
        <f t="shared" si="11"/>
        <v>物业管理</v>
      </c>
      <c r="R38" s="705" t="s">
        <v>18</v>
      </c>
      <c r="S38" s="706">
        <f t="shared" si="12"/>
        <v>100</v>
      </c>
      <c r="T38" s="705" t="s">
        <v>18</v>
      </c>
      <c r="U38" s="706">
        <f t="shared" si="13"/>
        <v>100</v>
      </c>
      <c r="V38" s="705" t="s">
        <v>18</v>
      </c>
      <c r="W38" s="706">
        <f t="shared" si="14"/>
        <v>100</v>
      </c>
      <c r="X38" s="1355"/>
      <c r="Y38" s="368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82"/>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82"/>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82"/>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82"/>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82"/>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82"/>
      <c r="Q44" s="1343">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82"/>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83"/>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9"/>
      <c r="M47" s="2720"/>
      <c r="N47" s="2711"/>
      <c r="O47" s="2720"/>
      <c r="P47" s="3672" t="str">
        <f>A47</f>
        <v>成交单价（元/平方米）</v>
      </c>
      <c r="Q47" s="3672"/>
      <c r="R47" s="3673">
        <f>E47</f>
        <v>0</v>
      </c>
      <c r="S47" s="3673"/>
      <c r="T47" s="3673">
        <f>G47</f>
        <v>0</v>
      </c>
      <c r="U47" s="3673"/>
      <c r="V47" s="3673">
        <f>I47</f>
        <v>0</v>
      </c>
      <c r="W47" s="367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9"/>
      <c r="M49" s="2720"/>
      <c r="N49" s="2720"/>
      <c r="O49" s="2720"/>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37" sqref="M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3412</v>
      </c>
      <c r="E1" s="3420" t="s">
        <v>3425</v>
      </c>
      <c r="F1" s="1879" t="s">
        <v>3426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0.64170000000000005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10.5</v>
      </c>
      <c r="C3" s="354" t="s">
        <v>1768</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91" t="s">
        <v>1771</v>
      </c>
      <c r="S4" s="3692"/>
      <c r="T4" s="3691" t="s">
        <v>1772</v>
      </c>
      <c r="U4" s="3692"/>
      <c r="V4" s="3686" t="s">
        <v>1773</v>
      </c>
      <c r="W4" s="3686"/>
      <c r="X4" s="1355"/>
      <c r="Y4" s="3691" t="s">
        <v>1775</v>
      </c>
      <c r="Z4" s="3692"/>
      <c r="AA4" s="3697" t="s">
        <v>1771</v>
      </c>
      <c r="AB4" s="3686" t="s">
        <v>1772</v>
      </c>
      <c r="AC4" s="3697" t="s">
        <v>1773</v>
      </c>
    </row>
    <row r="5" spans="1:29" ht="15">
      <c r="A5" s="358"/>
      <c r="B5" s="359"/>
      <c r="C5" s="3710" t="str">
        <f>租约!B11</f>
        <v>育慧西里</v>
      </c>
      <c r="D5" s="3711"/>
      <c r="E5" s="3746" t="str">
        <f>租约!B11</f>
        <v>育慧西里</v>
      </c>
      <c r="F5" s="3713"/>
      <c r="G5" s="3710" t="str">
        <f>租约!B12</f>
        <v>保利香槟花园</v>
      </c>
      <c r="H5" s="3711"/>
      <c r="I5" s="3710" t="str">
        <f>租约!A8</f>
        <v>关庄商务中心</v>
      </c>
      <c r="J5" s="3711"/>
      <c r="K5" s="559"/>
      <c r="L5" s="2710"/>
      <c r="M5" s="2711"/>
      <c r="N5" s="2711"/>
      <c r="O5" s="2711"/>
      <c r="P5" s="3706"/>
      <c r="Q5" s="3707"/>
      <c r="R5" s="3693"/>
      <c r="S5" s="3694"/>
      <c r="T5" s="3693"/>
      <c r="U5" s="3694"/>
      <c r="V5" s="3686"/>
      <c r="W5" s="3686"/>
      <c r="X5" s="1355"/>
      <c r="Y5" s="3693"/>
      <c r="Z5" s="3694"/>
      <c r="AA5" s="3698"/>
      <c r="AB5" s="3686"/>
      <c r="AC5" s="3698"/>
    </row>
    <row r="6" spans="1:29" ht="15.75" thickBot="1">
      <c r="A6" s="360"/>
      <c r="B6" s="361"/>
      <c r="C6" s="3715" t="s">
        <v>3567</v>
      </c>
      <c r="D6" s="3716"/>
      <c r="E6" s="3715" t="s">
        <v>3567</v>
      </c>
      <c r="F6" s="3716"/>
      <c r="G6" s="3715" t="s">
        <v>3567</v>
      </c>
      <c r="H6" s="3716"/>
      <c r="I6" s="3715" t="s">
        <v>3567</v>
      </c>
      <c r="J6" s="3716"/>
      <c r="K6" s="559" t="s">
        <v>1678</v>
      </c>
      <c r="L6" s="2710"/>
      <c r="M6" s="2711"/>
      <c r="N6" s="2711"/>
      <c r="O6" s="2711"/>
      <c r="P6" s="3708"/>
      <c r="Q6" s="3709"/>
      <c r="R6" s="3693"/>
      <c r="S6" s="3694"/>
      <c r="T6" s="3695"/>
      <c r="U6" s="3696"/>
      <c r="V6" s="3686"/>
      <c r="W6" s="3686"/>
      <c r="X6" s="1355"/>
      <c r="Y6" s="3695"/>
      <c r="Z6" s="3696"/>
      <c r="AA6" s="3699"/>
      <c r="AB6" s="3686"/>
      <c r="AC6" s="3699"/>
    </row>
    <row r="7" spans="1:29" s="108" customFormat="1" ht="15.7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687" t="s">
        <v>1680</v>
      </c>
      <c r="Q7" s="3688"/>
      <c r="R7" s="701" t="s">
        <v>14</v>
      </c>
      <c r="S7" s="702">
        <f t="shared" ref="S7:S15" si="0">F7</f>
        <v>100</v>
      </c>
      <c r="T7" s="701" t="s">
        <v>14</v>
      </c>
      <c r="U7" s="702">
        <f t="shared" ref="U7:U15" si="1">H7</f>
        <v>100</v>
      </c>
      <c r="V7" s="701" t="s">
        <v>14</v>
      </c>
      <c r="W7" s="702">
        <f t="shared" ref="W7:W15" si="2">J7</f>
        <v>100</v>
      </c>
      <c r="X7" s="703"/>
      <c r="Y7" s="3687" t="s">
        <v>1680</v>
      </c>
      <c r="Z7" s="3689"/>
      <c r="AA7" s="704">
        <f>D7/F7</f>
        <v>1</v>
      </c>
      <c r="AB7" s="704">
        <f>D7/H7</f>
        <v>1</v>
      </c>
      <c r="AC7" s="704">
        <f>D7/J7</f>
        <v>1</v>
      </c>
    </row>
    <row r="8" spans="1:29" s="108" customFormat="1" ht="15.75" thickBot="1">
      <c r="A8" s="362" t="s">
        <v>1681</v>
      </c>
      <c r="B8" s="363"/>
      <c r="C8" s="368" t="s">
        <v>3544</v>
      </c>
      <c r="D8" s="365">
        <v>100</v>
      </c>
      <c r="E8" s="368" t="s">
        <v>3544</v>
      </c>
      <c r="F8" s="367">
        <f>SUMIF(61:61,E8,62:62)-SUMIF(61:61,C8,62:62)+100</f>
        <v>100</v>
      </c>
      <c r="G8" s="368" t="s">
        <v>3544</v>
      </c>
      <c r="H8" s="365">
        <f>SUMIF(61:61,G8,62:62)-SUMIF(61:61,C8,62:62)+100</f>
        <v>100</v>
      </c>
      <c r="I8" s="368" t="s">
        <v>3544</v>
      </c>
      <c r="J8" s="365">
        <f>SUMIF(61:61,I8,62:62)-SUMIF(61:61,C8,62:62)+100</f>
        <v>100</v>
      </c>
      <c r="K8" s="560"/>
      <c r="L8" s="2712"/>
      <c r="M8" s="2713"/>
      <c r="N8" s="2713"/>
      <c r="O8" s="2713"/>
      <c r="P8" s="3687" t="s">
        <v>1683</v>
      </c>
      <c r="Q8" s="3689"/>
      <c r="R8" s="701" t="s">
        <v>14</v>
      </c>
      <c r="S8" s="702">
        <f t="shared" si="0"/>
        <v>100</v>
      </c>
      <c r="T8" s="701" t="s">
        <v>14</v>
      </c>
      <c r="U8" s="702">
        <f t="shared" si="1"/>
        <v>100</v>
      </c>
      <c r="V8" s="701" t="s">
        <v>14</v>
      </c>
      <c r="W8" s="702">
        <f t="shared" si="2"/>
        <v>100</v>
      </c>
      <c r="X8" s="703"/>
      <c r="Y8" s="3687" t="s">
        <v>1683</v>
      </c>
      <c r="Z8" s="3689"/>
      <c r="AA8" s="704">
        <f t="shared" ref="AA8:AA46" si="3">D8/F8</f>
        <v>1</v>
      </c>
      <c r="AB8" s="704">
        <f t="shared" ref="AB8:AB46" si="4">D8/H8</f>
        <v>1</v>
      </c>
      <c r="AC8" s="704">
        <f t="shared" ref="AC8:AC46" si="5">D8/J8</f>
        <v>1</v>
      </c>
    </row>
    <row r="9" spans="1:29" s="108" customFormat="1">
      <c r="A9" s="369" t="s">
        <v>1684</v>
      </c>
      <c r="B9" s="63" t="s">
        <v>1685</v>
      </c>
      <c r="C9" s="3467" t="s">
        <v>3568</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0"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690"/>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0"/>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0"/>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0"/>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0"/>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f>'比较法-商业 (售价)'!K15</f>
        <v>2</v>
      </c>
      <c r="L15" s="2717"/>
      <c r="M15" s="2711"/>
      <c r="N15" s="2711"/>
      <c r="O15" s="2711"/>
      <c r="P15" s="3677"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678"/>
      <c r="Q16" s="1352"/>
      <c r="R16" s="705"/>
      <c r="S16" s="706"/>
      <c r="T16" s="705"/>
      <c r="U16" s="706"/>
      <c r="V16" s="705"/>
      <c r="W16" s="706"/>
      <c r="X16" s="1355"/>
      <c r="Y16" s="3680"/>
      <c r="Z16" s="1356"/>
      <c r="AA16" s="1353">
        <v>1</v>
      </c>
      <c r="AB16" s="1353">
        <v>1</v>
      </c>
      <c r="AC16" s="1353">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f>'比较法-商业 (售价)'!K17</f>
        <v>2</v>
      </c>
      <c r="L17" s="2717"/>
      <c r="M17" s="2711"/>
      <c r="N17" s="2711"/>
      <c r="O17" s="2711"/>
      <c r="P17" s="3678"/>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678"/>
      <c r="Q18" s="1352"/>
      <c r="R18" s="705"/>
      <c r="S18" s="706"/>
      <c r="T18" s="705"/>
      <c r="U18" s="706"/>
      <c r="V18" s="705"/>
      <c r="W18" s="706"/>
      <c r="X18" s="1355"/>
      <c r="Y18" s="3680"/>
      <c r="Z18" s="1356"/>
      <c r="AA18" s="1353">
        <v>1</v>
      </c>
      <c r="AB18" s="1353">
        <v>1</v>
      </c>
      <c r="AC18" s="1353">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f>'比较法-商业 (售价)'!K19</f>
        <v>2</v>
      </c>
      <c r="L19" s="2717"/>
      <c r="M19" s="2711"/>
      <c r="N19" s="2711"/>
      <c r="O19" s="2711"/>
      <c r="P19" s="3678"/>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678"/>
      <c r="Q20" s="1352"/>
      <c r="R20" s="705"/>
      <c r="S20" s="706"/>
      <c r="T20" s="705"/>
      <c r="U20" s="706"/>
      <c r="V20" s="705"/>
      <c r="W20" s="706"/>
      <c r="X20" s="1355"/>
      <c r="Y20" s="3680"/>
      <c r="Z20" s="1356"/>
      <c r="AA20" s="1353">
        <v>1</v>
      </c>
      <c r="AB20" s="1353">
        <v>1</v>
      </c>
      <c r="AC20" s="1353">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f>'比较法-商业 (售价)'!K21</f>
        <v>1</v>
      </c>
      <c r="L21" s="2717"/>
      <c r="M21" s="2711"/>
      <c r="N21" s="2711"/>
      <c r="O21" s="2711"/>
      <c r="P21" s="3678"/>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398" t="s">
        <v>3430</v>
      </c>
      <c r="F22" s="400"/>
      <c r="G22" s="398" t="s">
        <v>3430</v>
      </c>
      <c r="H22" s="399"/>
      <c r="I22" s="398" t="s">
        <v>3430</v>
      </c>
      <c r="J22" s="399"/>
      <c r="K22" s="1130"/>
      <c r="L22" s="2717"/>
      <c r="M22" s="2711"/>
      <c r="N22" s="2711"/>
      <c r="O22" s="2711"/>
      <c r="P22" s="3678"/>
      <c r="Q22" s="1352"/>
      <c r="R22" s="705"/>
      <c r="S22" s="706"/>
      <c r="T22" s="705"/>
      <c r="U22" s="706"/>
      <c r="V22" s="705"/>
      <c r="W22" s="706"/>
      <c r="X22" s="1355"/>
      <c r="Y22" s="3680"/>
      <c r="Z22" s="1356"/>
      <c r="AA22" s="1353">
        <v>1</v>
      </c>
      <c r="AB22" s="1353">
        <v>1</v>
      </c>
      <c r="AC22" s="1353">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f>'比较法-商业 (售价)'!K23</f>
        <v>2</v>
      </c>
      <c r="L23" s="2717"/>
      <c r="M23" s="2711"/>
      <c r="N23" s="2711"/>
      <c r="O23" s="2711"/>
      <c r="P23" s="3678"/>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678"/>
      <c r="Q24" s="1352"/>
      <c r="R24" s="705"/>
      <c r="S24" s="706"/>
      <c r="T24" s="705"/>
      <c r="U24" s="706"/>
      <c r="V24" s="705"/>
      <c r="W24" s="706"/>
      <c r="X24" s="1355"/>
      <c r="Y24" s="3680"/>
      <c r="Z24" s="1356"/>
      <c r="AA24" s="1353">
        <v>1</v>
      </c>
      <c r="AB24" s="1353">
        <v>1</v>
      </c>
      <c r="AC24" s="1353">
        <v>1</v>
      </c>
    </row>
    <row r="25" spans="1:29" ht="15">
      <c r="A25" s="379"/>
      <c r="B25" s="375" t="s">
        <v>1780</v>
      </c>
      <c r="C25" s="565" t="s">
        <v>3571</v>
      </c>
      <c r="D25" s="386">
        <v>100</v>
      </c>
      <c r="E25" s="565" t="s">
        <v>3571</v>
      </c>
      <c r="F25" s="412">
        <f>SUMIF(86:86,E25,87:87)-SUMIF(86:86,C25,87:87)+100</f>
        <v>100</v>
      </c>
      <c r="G25" s="565" t="s">
        <v>3571</v>
      </c>
      <c r="H25" s="386">
        <f>SUMIF(86:86,G25,87:87)-SUMIF(86:86,C25,87:87)+100</f>
        <v>100</v>
      </c>
      <c r="I25" s="565" t="s">
        <v>3571</v>
      </c>
      <c r="J25" s="386">
        <f>SUMIF(86:86,I25,87:87)-SUMIF(86:86,C25,87:87)+100</f>
        <v>100</v>
      </c>
      <c r="K25" s="563">
        <f>'比较法-商业 (售价)'!K25</f>
        <v>5</v>
      </c>
      <c r="L25" s="2717"/>
      <c r="M25" s="2711"/>
      <c r="N25" s="2711"/>
      <c r="O25" s="2711"/>
      <c r="P25" s="3678"/>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1781</v>
      </c>
      <c r="C26" s="3473" t="s">
        <v>3575</v>
      </c>
      <c r="D26" s="386">
        <v>100</v>
      </c>
      <c r="E26" s="3473" t="s">
        <v>3575</v>
      </c>
      <c r="F26" s="412">
        <f>SUMIF(88:88,E26,89:89)-SUMIF(88:88,C26,89:89)+100</f>
        <v>100</v>
      </c>
      <c r="G26" s="3473" t="s">
        <v>3575</v>
      </c>
      <c r="H26" s="386">
        <f>SUMIF(88:88,G26,89:89)-SUMIF(88:88,C26,89:89)+100</f>
        <v>100</v>
      </c>
      <c r="I26" s="3473" t="s">
        <v>3575</v>
      </c>
      <c r="J26" s="386">
        <f>SUMIF(88:88,I26,89:89)-SUMIF(88:88,C26,89:89)+100</f>
        <v>100</v>
      </c>
      <c r="K26" s="562"/>
      <c r="L26" s="2717"/>
      <c r="M26" s="2711"/>
      <c r="N26" s="2711"/>
      <c r="O26" s="2711"/>
      <c r="P26" s="3678"/>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1782</v>
      </c>
      <c r="C27" s="1956" t="s">
        <v>3580</v>
      </c>
      <c r="D27" s="413">
        <v>100</v>
      </c>
      <c r="E27" s="1956" t="s">
        <v>3580</v>
      </c>
      <c r="F27" s="415">
        <f>SUMIF(90:90,E27,91:91)-SUMIF(90:90,C27,91:91)+100</f>
        <v>100</v>
      </c>
      <c r="G27" s="1956" t="s">
        <v>3580</v>
      </c>
      <c r="H27" s="413">
        <f>SUMIF(90:90,G27,91:91)-SUMIF(90:90,C27,91:91)+100</f>
        <v>100</v>
      </c>
      <c r="I27" s="1956" t="s">
        <v>3580</v>
      </c>
      <c r="J27" s="413">
        <f>SUMIF(90:90,I27,91:91)-SUMIF(90:90,C27,91:91)+100</f>
        <v>100</v>
      </c>
      <c r="K27" s="563">
        <f>'比较法-商业 (售价)'!K27</f>
        <v>2</v>
      </c>
      <c r="L27" s="2712"/>
      <c r="M27" s="2713"/>
      <c r="N27" s="2713"/>
      <c r="O27" s="2713"/>
      <c r="P27" s="3678"/>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75" thickBot="1">
      <c r="A28" s="379"/>
      <c r="B28" s="375" t="s">
        <v>1783</v>
      </c>
      <c r="C28" s="565" t="s">
        <v>3617</v>
      </c>
      <c r="D28" s="386">
        <v>100</v>
      </c>
      <c r="E28" s="565" t="s">
        <v>3617</v>
      </c>
      <c r="F28" s="412">
        <f>SUMIF(92:92,E28,93:93)-SUMIF(92:92,C28,93:93)+100</f>
        <v>100</v>
      </c>
      <c r="G28" s="565" t="s">
        <v>3617</v>
      </c>
      <c r="H28" s="386">
        <f>SUMIF(92:92,G28,93:93)-SUMIF(92:92,C28,93:93)+100</f>
        <v>100</v>
      </c>
      <c r="I28" s="565" t="s">
        <v>3617</v>
      </c>
      <c r="J28" s="386">
        <f>SUMIF(92:92,I28,93:93)-SUMIF(92:92,C28,93:93)+100</f>
        <v>100</v>
      </c>
      <c r="K28" s="562"/>
      <c r="L28" s="2717"/>
      <c r="M28" s="2711"/>
      <c r="N28" s="2711"/>
      <c r="O28" s="2711"/>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78"/>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78"/>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78"/>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1784</v>
      </c>
      <c r="C32" s="1910" t="s">
        <v>3388</v>
      </c>
      <c r="D32" s="418">
        <v>100</v>
      </c>
      <c r="E32" s="1910" t="s">
        <v>3388</v>
      </c>
      <c r="F32" s="412">
        <f>SUMIF(100:100,E32,101:101)-SUMIF(100:100,C32,101:101)+100</f>
        <v>100</v>
      </c>
      <c r="G32" s="1910" t="s">
        <v>3388</v>
      </c>
      <c r="H32" s="386">
        <f>SUMIF(100:100,G32,101:101)-SUMIF(100:100,C32,101:101)+100</f>
        <v>100</v>
      </c>
      <c r="I32" s="1910" t="s">
        <v>3597</v>
      </c>
      <c r="J32" s="418">
        <f>SUMIF(100:100,I32,101:101)-SUMIF(100:100,C32,101:101)+100</f>
        <v>95</v>
      </c>
      <c r="K32" s="563">
        <f>'比较法-商业 (售价)'!K32</f>
        <v>5</v>
      </c>
      <c r="L32" s="2717"/>
      <c r="M32" s="2711"/>
      <c r="N32" s="2711"/>
      <c r="O32" s="2711"/>
      <c r="P32" s="3681" t="s">
        <v>1696</v>
      </c>
      <c r="Q32" s="1352" t="str">
        <f t="shared" si="11"/>
        <v>商业类型</v>
      </c>
      <c r="R32" s="705" t="s">
        <v>14</v>
      </c>
      <c r="S32" s="706">
        <f t="shared" si="12"/>
        <v>100</v>
      </c>
      <c r="T32" s="705" t="s">
        <v>14</v>
      </c>
      <c r="U32" s="706">
        <f t="shared" si="13"/>
        <v>100</v>
      </c>
      <c r="V32" s="705" t="s">
        <v>14</v>
      </c>
      <c r="W32" s="706">
        <f t="shared" si="14"/>
        <v>95</v>
      </c>
      <c r="X32" s="1355"/>
      <c r="Y32" s="3684" t="s">
        <v>1696</v>
      </c>
      <c r="Z32" s="1356" t="str">
        <f t="shared" si="15"/>
        <v>商业类型</v>
      </c>
      <c r="AA32" s="1353">
        <f t="shared" si="3"/>
        <v>1</v>
      </c>
      <c r="AB32" s="1353">
        <f t="shared" si="4"/>
        <v>1</v>
      </c>
      <c r="AC32" s="1353">
        <f t="shared" si="5"/>
        <v>1.0526315789473684</v>
      </c>
    </row>
    <row r="33" spans="1:29" s="422" customFormat="1" ht="15">
      <c r="A33" s="419"/>
      <c r="B33" s="375" t="s">
        <v>1697</v>
      </c>
      <c r="C33" s="420">
        <f>'数据-汇总表'!E3</f>
        <v>611.12</v>
      </c>
      <c r="D33" s="127">
        <v>100</v>
      </c>
      <c r="E33" s="381">
        <f>租约!AP4</f>
        <v>330</v>
      </c>
      <c r="F33" s="376">
        <f>LOOKUP(E33,103:103,104:104)-LOOKUP(C33,103:103,104:104)+100</f>
        <v>102</v>
      </c>
      <c r="G33" s="380">
        <v>73.95</v>
      </c>
      <c r="H33" s="127">
        <f>LOOKUP(G33,103:103,104:104)-LOOKUP(C33,103:103,104:104)+100</f>
        <v>106</v>
      </c>
      <c r="I33" s="380">
        <f>租约!A13</f>
        <v>120</v>
      </c>
      <c r="J33" s="127">
        <f>LOOKUP(I33,103:103,104:104)-LOOKUP(C33,103:103,104:104)+100</f>
        <v>104</v>
      </c>
      <c r="K33" s="562"/>
      <c r="L33" s="2716"/>
      <c r="M33" s="2718"/>
      <c r="N33" s="2718"/>
      <c r="O33" s="2718"/>
      <c r="P33" s="3682"/>
      <c r="Q33" s="707" t="str">
        <f t="shared" si="11"/>
        <v>项目建筑规模</v>
      </c>
      <c r="R33" s="708" t="s">
        <v>14</v>
      </c>
      <c r="S33" s="709">
        <f t="shared" si="12"/>
        <v>102</v>
      </c>
      <c r="T33" s="708" t="s">
        <v>14</v>
      </c>
      <c r="U33" s="709">
        <f t="shared" si="13"/>
        <v>106</v>
      </c>
      <c r="V33" s="708" t="s">
        <v>14</v>
      </c>
      <c r="W33" s="709">
        <f t="shared" si="14"/>
        <v>104</v>
      </c>
      <c r="X33" s="710"/>
      <c r="Y33" s="3684"/>
      <c r="Z33" s="711" t="str">
        <f t="shared" si="15"/>
        <v>项目建筑规模</v>
      </c>
      <c r="AA33" s="1353">
        <f t="shared" si="3"/>
        <v>0.98039215686274506</v>
      </c>
      <c r="AB33" s="1353">
        <f t="shared" si="4"/>
        <v>0.94339622641509435</v>
      </c>
      <c r="AC33" s="1353">
        <f t="shared" si="5"/>
        <v>0.96153846153846156</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3">
        <f>'比较法-商业 (售价)'!K34</f>
        <v>0</v>
      </c>
      <c r="L34" s="2717"/>
      <c r="M34" s="2711"/>
      <c r="N34" s="2711"/>
      <c r="O34" s="2711"/>
      <c r="P34" s="3682"/>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3">
        <f>'比较法-商业 (售价)'!K35</f>
        <v>0</v>
      </c>
      <c r="L35" s="2717"/>
      <c r="M35" s="2711"/>
      <c r="N35" s="2711"/>
      <c r="O35" s="2711"/>
      <c r="P35" s="3682"/>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1786</v>
      </c>
      <c r="C36" s="425">
        <f>'数据-取费表'!N6</f>
        <v>0.7</v>
      </c>
      <c r="D36" s="386">
        <v>100</v>
      </c>
      <c r="E36" s="425">
        <v>0.8</v>
      </c>
      <c r="F36" s="412">
        <f>LOOKUP(E36,110:110,111:111)-LOOKUP(C36,110:110,111:111)+100</f>
        <v>102</v>
      </c>
      <c r="G36" s="425">
        <v>0.85</v>
      </c>
      <c r="H36" s="412">
        <f>LOOKUP(G36,110:110,111:111)-LOOKUP(C36,110:110,111:111)+100</f>
        <v>102</v>
      </c>
      <c r="I36" s="425">
        <v>0.8</v>
      </c>
      <c r="J36" s="386">
        <f>LOOKUP(I36,110:110,111:111)-LOOKUP(C36,110:110,111:111)+100</f>
        <v>102</v>
      </c>
      <c r="K36" s="563">
        <f>'比较法-商业 (售价)'!K36</f>
        <v>2</v>
      </c>
      <c r="L36" s="2717"/>
      <c r="M36" s="2711"/>
      <c r="N36" s="2711"/>
      <c r="O36" s="2711"/>
      <c r="P36" s="3682"/>
      <c r="Q36" s="1352" t="str">
        <f t="shared" si="11"/>
        <v>成新度</v>
      </c>
      <c r="R36" s="705" t="s">
        <v>14</v>
      </c>
      <c r="S36" s="706">
        <f t="shared" si="12"/>
        <v>102</v>
      </c>
      <c r="T36" s="705" t="s">
        <v>14</v>
      </c>
      <c r="U36" s="706">
        <f t="shared" si="13"/>
        <v>102</v>
      </c>
      <c r="V36" s="705" t="s">
        <v>14</v>
      </c>
      <c r="W36" s="706">
        <f t="shared" si="14"/>
        <v>102</v>
      </c>
      <c r="X36" s="1355"/>
      <c r="Y36" s="3684"/>
      <c r="Z36" s="1356" t="str">
        <f t="shared" si="15"/>
        <v>成新度</v>
      </c>
      <c r="AA36" s="1353">
        <f t="shared" si="3"/>
        <v>0.98039215686274506</v>
      </c>
      <c r="AB36" s="1353">
        <f t="shared" si="4"/>
        <v>0.98039215686274506</v>
      </c>
      <c r="AC36" s="1353">
        <f t="shared" si="5"/>
        <v>0.98039215686274506</v>
      </c>
    </row>
    <row r="37" spans="1:29" s="108" customFormat="1" ht="15">
      <c r="A37" s="424"/>
      <c r="B37" s="375" t="s">
        <v>1787</v>
      </c>
      <c r="C37" s="1906" t="s">
        <v>3619</v>
      </c>
      <c r="D37" s="127">
        <v>100</v>
      </c>
      <c r="E37" s="1906" t="s">
        <v>3619</v>
      </c>
      <c r="F37" s="412">
        <f>SUMIF(112:112,E37,113:113)-SUMIF(112:112,C37,113:113)+100</f>
        <v>100</v>
      </c>
      <c r="G37" s="1906" t="s">
        <v>3619</v>
      </c>
      <c r="H37" s="386">
        <f>SUMIF(112:112,G37,113:113)-SUMIF(112:112,C37,113:113)+100</f>
        <v>100</v>
      </c>
      <c r="I37" s="1906" t="s">
        <v>3619</v>
      </c>
      <c r="J37" s="386">
        <f>SUMIF(112:112,I37,113:113)-SUMIF(112:112,C37,113:113)+100</f>
        <v>100</v>
      </c>
      <c r="K37" s="563">
        <f>'比较法-商业 (售价)'!K37</f>
        <v>1</v>
      </c>
      <c r="L37" s="2712"/>
      <c r="M37" s="2713"/>
      <c r="N37" s="2713"/>
      <c r="O37" s="2713"/>
      <c r="P37" s="3682"/>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1788</v>
      </c>
      <c r="C38" s="1906" t="s">
        <v>3593</v>
      </c>
      <c r="D38" s="386">
        <v>100</v>
      </c>
      <c r="E38" s="1906" t="s">
        <v>3593</v>
      </c>
      <c r="F38" s="412">
        <f>SUMIF(114:114,E38,115:115)-SUMIF(114:114,C38,115:115)+100</f>
        <v>100</v>
      </c>
      <c r="G38" s="1906" t="s">
        <v>3595</v>
      </c>
      <c r="H38" s="386">
        <f>SUMIF(114:114,G38,115:115)-SUMIF(114:114,C38,115:115)+100</f>
        <v>90</v>
      </c>
      <c r="I38" s="1906" t="s">
        <v>3595</v>
      </c>
      <c r="J38" s="386">
        <f>SUMIF(114:114,I38,115:115)-SUMIF(114:114,C38,115:115)+100</f>
        <v>90</v>
      </c>
      <c r="K38" s="563">
        <f>'比较法-商业 (售价)'!K38</f>
        <v>10</v>
      </c>
      <c r="L38" s="2717"/>
      <c r="M38" s="2711"/>
      <c r="N38" s="2711"/>
      <c r="O38" s="2711"/>
      <c r="P38" s="3682" t="s">
        <v>1696</v>
      </c>
      <c r="Q38" s="1352" t="str">
        <f t="shared" si="11"/>
        <v>业态</v>
      </c>
      <c r="R38" s="705" t="s">
        <v>14</v>
      </c>
      <c r="S38" s="706">
        <f t="shared" si="12"/>
        <v>100</v>
      </c>
      <c r="T38" s="705" t="s">
        <v>14</v>
      </c>
      <c r="U38" s="706">
        <f t="shared" si="13"/>
        <v>90</v>
      </c>
      <c r="V38" s="705" t="s">
        <v>14</v>
      </c>
      <c r="W38" s="706">
        <f t="shared" si="14"/>
        <v>90</v>
      </c>
      <c r="X38" s="1355"/>
      <c r="Y38" s="3684" t="s">
        <v>1696</v>
      </c>
      <c r="Z38" s="1356" t="str">
        <f t="shared" si="15"/>
        <v>业态</v>
      </c>
      <c r="AA38" s="1353">
        <f t="shared" si="3"/>
        <v>1</v>
      </c>
      <c r="AB38" s="1353">
        <f t="shared" si="4"/>
        <v>1.1111111111111112</v>
      </c>
      <c r="AC38" s="1353">
        <f t="shared" si="5"/>
        <v>1.1111111111111112</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3">
        <f>'比较法-商业 (售价)'!K39</f>
        <v>0</v>
      </c>
      <c r="L39" s="2717"/>
      <c r="M39" s="2711"/>
      <c r="N39" s="2711"/>
      <c r="O39" s="2711"/>
      <c r="P39" s="3682"/>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82"/>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1791</v>
      </c>
      <c r="C41" s="565" t="s">
        <v>3601</v>
      </c>
      <c r="D41" s="386">
        <v>100</v>
      </c>
      <c r="E41" s="565" t="s">
        <v>3601</v>
      </c>
      <c r="F41" s="412">
        <f>SUMIF(120:120,E41,121:121)-SUMIF(120:120,C41,121:121)+100</f>
        <v>100</v>
      </c>
      <c r="G41" s="565" t="s">
        <v>3601</v>
      </c>
      <c r="H41" s="386">
        <f>SUMIF(120:120,G41,121:121)-SUMIF(120:120,C41,121:121)+100</f>
        <v>100</v>
      </c>
      <c r="I41" s="565" t="s">
        <v>3601</v>
      </c>
      <c r="J41" s="386">
        <f>SUMIF(120:120,I41,121:121)-SUMIF(120:120,C41,121:121)+100</f>
        <v>100</v>
      </c>
      <c r="K41" s="563">
        <f>'比较法-商业 (售价)'!K41</f>
        <v>2</v>
      </c>
      <c r="L41" s="2716"/>
      <c r="M41" s="2718"/>
      <c r="N41" s="2718"/>
      <c r="O41" s="2718"/>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1792</v>
      </c>
      <c r="C42" s="1906" t="s">
        <v>3589</v>
      </c>
      <c r="D42" s="386">
        <v>100</v>
      </c>
      <c r="E42" s="1906" t="s">
        <v>3589</v>
      </c>
      <c r="F42" s="412">
        <f>SUMIF(122:122,E42,123:123)-SUMIF(122:122,C42,123:123)+100</f>
        <v>100</v>
      </c>
      <c r="G42" s="1906" t="s">
        <v>3589</v>
      </c>
      <c r="H42" s="386">
        <f>SUMIF(122:122,G42,123:123)-SUMIF(122:122,C42,123:123)+100</f>
        <v>100</v>
      </c>
      <c r="I42" s="1906" t="s">
        <v>3589</v>
      </c>
      <c r="J42" s="386">
        <f>SUMIF(122:122,I42,123:123)-SUMIF(122:122,C42,123:123)+100</f>
        <v>100</v>
      </c>
      <c r="K42" s="563">
        <f>'比较法-商业 (售价)'!K42</f>
        <v>2</v>
      </c>
      <c r="L42" s="2717"/>
      <c r="M42" s="2711"/>
      <c r="N42" s="2711"/>
      <c r="O42" s="2711"/>
      <c r="P42" s="3682"/>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15.75"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3">
        <f>'比较法-商业 (售价)'!K43</f>
        <v>2</v>
      </c>
      <c r="L43" s="2717"/>
      <c r="M43" s="2711"/>
      <c r="N43" s="2711"/>
      <c r="O43" s="2711"/>
      <c r="P43" s="3682"/>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82"/>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82"/>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5">
      <c r="A47" s="430" t="s">
        <v>1708</v>
      </c>
      <c r="B47" s="431"/>
      <c r="C47" s="1154" t="s">
        <v>0</v>
      </c>
      <c r="D47" s="1155"/>
      <c r="E47" s="1156">
        <f>租约!C11</f>
        <v>10</v>
      </c>
      <c r="F47" s="1157"/>
      <c r="G47" s="1158">
        <v>10.4</v>
      </c>
      <c r="H47" s="1159"/>
      <c r="I47" s="1156">
        <f>租约!C13</f>
        <v>11</v>
      </c>
      <c r="J47" s="1159"/>
      <c r="K47" s="714"/>
      <c r="L47" s="2719"/>
      <c r="M47" s="2720"/>
      <c r="N47" s="2711"/>
      <c r="O47" s="2720"/>
      <c r="P47" s="3672" t="str">
        <f>A47</f>
        <v>成交单价（元/平方米）</v>
      </c>
      <c r="Q47" s="3672"/>
      <c r="R47" s="3686">
        <f>E47</f>
        <v>10</v>
      </c>
      <c r="S47" s="3686"/>
      <c r="T47" s="3686">
        <f>G47</f>
        <v>10.4</v>
      </c>
      <c r="U47" s="3686"/>
      <c r="V47" s="3686">
        <f>I47</f>
        <v>11</v>
      </c>
      <c r="W47" s="3686"/>
      <c r="X47" s="690"/>
      <c r="Y47" s="712"/>
      <c r="Z47" s="690"/>
      <c r="AA47" s="690"/>
      <c r="AB47" s="690"/>
      <c r="AC47" s="690"/>
    </row>
    <row r="48" spans="1:29" ht="15.75" thickBot="1">
      <c r="A48" s="437" t="s">
        <v>1793</v>
      </c>
      <c r="B48" s="438"/>
      <c r="C48" s="1160">
        <f>R49</f>
        <v>10.5</v>
      </c>
      <c r="D48" s="2317" t="s">
        <v>3620</v>
      </c>
      <c r="E48" s="1161">
        <f>R48</f>
        <v>9.6</v>
      </c>
      <c r="F48" s="2318">
        <v>0.5</v>
      </c>
      <c r="G48" s="1160">
        <f>T48</f>
        <v>10.7</v>
      </c>
      <c r="H48" s="2318">
        <v>0.25</v>
      </c>
      <c r="I48" s="1161">
        <f>V48</f>
        <v>12.1</v>
      </c>
      <c r="J48" s="2318">
        <v>0.25</v>
      </c>
      <c r="K48" s="2320">
        <f>F48+H48+J48</f>
        <v>1</v>
      </c>
      <c r="L48" s="2719"/>
      <c r="M48" s="2720"/>
      <c r="N48" s="2711"/>
      <c r="O48" s="2720"/>
      <c r="P48" s="3672" t="str">
        <f>A48</f>
        <v>比较价值（元/平方米）</v>
      </c>
      <c r="Q48" s="3672"/>
      <c r="R48" s="3673">
        <f>IF(F1="售价",ROUND(PRODUCT(R47,AA7:AA46),0),ROUND(PRODUCT(R47,AA7:AA46),1))</f>
        <v>9.6</v>
      </c>
      <c r="S48" s="3673"/>
      <c r="T48" s="3673">
        <f>IF(F1="售价",ROUND(PRODUCT(T47,AB7:AB46),0),ROUND(PRODUCT(T47,AB7:AB46),1))</f>
        <v>10.7</v>
      </c>
      <c r="U48" s="3673"/>
      <c r="V48" s="3673">
        <f>IF(F1="售价",ROUND(PRODUCT(V47,AC7:AC46),0),ROUND(PRODUCT(V47,AC7:AC46),1))</f>
        <v>12.1</v>
      </c>
      <c r="W48" s="3673"/>
      <c r="X48" s="690"/>
      <c r="Y48" s="690"/>
      <c r="Z48" s="690"/>
      <c r="AA48" s="690"/>
      <c r="AB48" s="690"/>
      <c r="AC48" s="690"/>
    </row>
    <row r="49" spans="1:29" ht="15.75" thickBot="1">
      <c r="A49" s="441" t="s">
        <v>1794</v>
      </c>
      <c r="B49" s="442"/>
      <c r="C49" s="1163">
        <f>R49</f>
        <v>10.5</v>
      </c>
      <c r="D49" s="1163"/>
      <c r="E49" s="1163"/>
      <c r="F49" s="1163"/>
      <c r="G49" s="1163"/>
      <c r="H49" s="1163"/>
      <c r="I49" s="1163"/>
      <c r="J49" s="1163"/>
      <c r="K49" s="715"/>
      <c r="L49" s="2719"/>
      <c r="M49" s="2720"/>
      <c r="N49" s="2711"/>
      <c r="O49" s="2720"/>
      <c r="P49" s="3674" t="str">
        <f>A49</f>
        <v>估价对象XX用房的比较价值（楼面单价，元/平方米）</v>
      </c>
      <c r="Q49" s="3675"/>
      <c r="R49" s="3676">
        <f>IF(F1="售价",ROUND(IF(D48="简单平均",AVERAGE(R48:V48),R48*F48+T48*H48+V48*J48),0),ROUND(IF(D48="简单平均",AVERAGE(R48:V48),R48*F48+T48*H48+V48*J48),1))</f>
        <v>10.5</v>
      </c>
      <c r="S49" s="3676"/>
      <c r="T49" s="3676"/>
      <c r="U49" s="3676"/>
      <c r="V49" s="3676"/>
      <c r="W49" s="367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4.1666666666666741E-2</v>
      </c>
      <c r="F52" s="449" t="str">
        <f>IF(OR(E52&gt;=0.3,E52&lt;=-0.3),"超过30%","")</f>
        <v/>
      </c>
      <c r="G52" s="448">
        <f>IF(G47&lt;G48,G48/G47-1,G47/G48-1)</f>
        <v>2.8846153846153744E-2</v>
      </c>
      <c r="H52" s="449" t="str">
        <f>IF(OR(G52&gt;=0.3,G52&lt;=-0.3),"超过30%","")</f>
        <v/>
      </c>
      <c r="I52" s="448">
        <f>IF(I47&lt;I48,I48/I47-1,I47/I48-1)</f>
        <v>9.9999999999999867E-2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0.11458333333333326</v>
      </c>
      <c r="F53" s="449" t="str">
        <f>IF(OR(E53&gt;=0.2,E53&lt;=-0.2),"超过20%","")</f>
        <v/>
      </c>
      <c r="G53" s="448">
        <f>IF(G48&lt;I48,I48/G48-1,G48/I48-1)</f>
        <v>0.13084112149532712</v>
      </c>
      <c r="H53" s="449" t="str">
        <f>IF(OR(G53&gt;=0.2,G53&lt;=-0.2),"超过20%","")</f>
        <v/>
      </c>
      <c r="I53" s="448">
        <f>IF(I48&lt;E48,E48/I48-1,I48/E48-1)</f>
        <v>0.26041666666666674</v>
      </c>
      <c r="J53" s="449" t="str">
        <f>IF(OR(I53&gt;=0.2,I53&lt;=-0.2),"超过20%","")</f>
        <v>超过20%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4.0000000000000036E-2</v>
      </c>
      <c r="F54" s="449" t="str">
        <f>IF(OR(E54&gt;=0.3,E54&lt;=-0.3),"超过30%","")</f>
        <v/>
      </c>
      <c r="G54" s="448">
        <f>IF(G47&lt;I47,I47/G47-1,G47/I47-1)</f>
        <v>5.7692307692307709E-2</v>
      </c>
      <c r="H54" s="449" t="str">
        <f>IF(OR(G54&gt;=0.3,G54&lt;=-0.3),"超过30%","")</f>
        <v/>
      </c>
      <c r="I54" s="448">
        <f>IF(I47&lt;E47,E47/I47-1,I47/E47-1)</f>
        <v>0.10000000000000009</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68" t="s">
        <v>3569</v>
      </c>
      <c r="D86" s="3468" t="s">
        <v>3570</v>
      </c>
      <c r="E86" s="3468" t="s">
        <v>3572</v>
      </c>
      <c r="F86" s="3468" t="s">
        <v>3573</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68" t="s">
        <v>3574</v>
      </c>
      <c r="D88" s="3468" t="s">
        <v>3575</v>
      </c>
      <c r="E88" s="3468" t="s">
        <v>3576</v>
      </c>
      <c r="F88" s="3469" t="s">
        <v>3577</v>
      </c>
      <c r="G88" s="3468" t="s">
        <v>3578</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3468" t="s">
        <v>3579</v>
      </c>
      <c r="D90" s="3468" t="s">
        <v>3581</v>
      </c>
      <c r="E90" s="3468" t="s">
        <v>3576</v>
      </c>
      <c r="F90" s="3468" t="s">
        <v>3582</v>
      </c>
      <c r="G90" s="3468" t="s">
        <v>3583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3584</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70" t="s">
        <v>3585</v>
      </c>
      <c r="D100" s="3470" t="s">
        <v>3598</v>
      </c>
      <c r="E100" s="3470" t="s">
        <v>3599</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0(含)-20</v>
      </c>
      <c r="D102" s="527" t="str">
        <f t="shared" ref="D102:L102" si="23">D103&amp;"(含)"&amp;"-"&amp;E103</f>
        <v>20(含)-50</v>
      </c>
      <c r="E102" s="527" t="str">
        <f t="shared" si="23"/>
        <v>50(含)-100</v>
      </c>
      <c r="F102" s="527" t="str">
        <f t="shared" si="23"/>
        <v>100(含)-200</v>
      </c>
      <c r="G102" s="527" t="str">
        <f t="shared" si="23"/>
        <v>200(含)-500</v>
      </c>
      <c r="H102" s="527" t="str">
        <f t="shared" si="23"/>
        <v>500(含)-1000</v>
      </c>
      <c r="I102" s="527" t="str">
        <f t="shared" si="23"/>
        <v xml:space="preserve">1000(含)-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20</v>
      </c>
      <c r="E103" s="544">
        <v>50</v>
      </c>
      <c r="F103" s="544">
        <v>100</v>
      </c>
      <c r="G103" s="544">
        <v>200</v>
      </c>
      <c r="H103" s="544">
        <v>500</v>
      </c>
      <c r="I103" s="544">
        <v>1000</v>
      </c>
      <c r="J103" s="545" t="s">
        <v>3586</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3587</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3588</v>
      </c>
      <c r="D107" s="3468" t="s">
        <v>3590</v>
      </c>
      <c r="E107" s="3468" t="s">
        <v>3591</v>
      </c>
      <c r="F107" s="3471" t="s">
        <v>3592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3594</v>
      </c>
      <c r="D114" s="3468" t="s">
        <v>3596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3600</v>
      </c>
      <c r="D120" s="3471" t="s">
        <v>3602</v>
      </c>
      <c r="E120" s="3471" t="s">
        <v>3576</v>
      </c>
      <c r="F120" s="3471" t="s">
        <v>3603</v>
      </c>
      <c r="G120" s="3472" t="s">
        <v>3604</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611.12</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53" t="s">
        <v>1775</v>
      </c>
      <c r="Q4" s="3754"/>
      <c r="R4" s="3757" t="s">
        <v>1771</v>
      </c>
      <c r="S4" s="3758"/>
      <c r="T4" s="3757" t="s">
        <v>1772</v>
      </c>
      <c r="U4" s="3758"/>
      <c r="V4" s="3759" t="s">
        <v>1773</v>
      </c>
      <c r="W4" s="3759"/>
      <c r="X4" s="1958"/>
      <c r="Y4" s="3757" t="s">
        <v>1775</v>
      </c>
      <c r="Z4" s="3758"/>
      <c r="AA4" s="3761" t="s">
        <v>1771</v>
      </c>
      <c r="AB4" s="3761" t="s">
        <v>1772</v>
      </c>
      <c r="AC4" s="3750" t="s">
        <v>1773</v>
      </c>
    </row>
    <row r="5" spans="1:29" ht="15">
      <c r="A5" s="358"/>
      <c r="B5" s="359"/>
      <c r="C5" s="3710" t="s">
        <v>1673</v>
      </c>
      <c r="D5" s="3711"/>
      <c r="E5" s="3746" t="s">
        <v>1674</v>
      </c>
      <c r="F5" s="3713"/>
      <c r="G5" s="3710" t="s">
        <v>1675</v>
      </c>
      <c r="H5" s="3711"/>
      <c r="I5" s="3710" t="s">
        <v>1676</v>
      </c>
      <c r="J5" s="3711"/>
      <c r="K5" s="559"/>
      <c r="L5" s="2710"/>
      <c r="M5" s="2711"/>
      <c r="N5" s="2711"/>
      <c r="O5" s="2711"/>
      <c r="P5" s="3755"/>
      <c r="Q5" s="3707"/>
      <c r="R5" s="3693"/>
      <c r="S5" s="3694"/>
      <c r="T5" s="3693"/>
      <c r="U5" s="3694"/>
      <c r="V5" s="3686"/>
      <c r="W5" s="3686"/>
      <c r="X5" s="1355"/>
      <c r="Y5" s="3693"/>
      <c r="Z5" s="3694"/>
      <c r="AA5" s="3698"/>
      <c r="AB5" s="3698"/>
      <c r="AC5" s="3751"/>
    </row>
    <row r="6" spans="1:29" ht="15.75" thickBot="1">
      <c r="A6" s="360"/>
      <c r="B6" s="361"/>
      <c r="C6" s="3743" t="s">
        <v>1677</v>
      </c>
      <c r="D6" s="3716"/>
      <c r="E6" s="3744" t="s">
        <v>1677</v>
      </c>
      <c r="F6" s="3745"/>
      <c r="G6" s="3743" t="s">
        <v>1677</v>
      </c>
      <c r="H6" s="3716"/>
      <c r="I6" s="3743" t="s">
        <v>1677</v>
      </c>
      <c r="J6" s="3716"/>
      <c r="K6" s="559" t="s">
        <v>1678</v>
      </c>
      <c r="L6" s="2710"/>
      <c r="M6" s="2711"/>
      <c r="N6" s="2711"/>
      <c r="O6" s="2711"/>
      <c r="P6" s="3756"/>
      <c r="Q6" s="3709"/>
      <c r="R6" s="3693"/>
      <c r="S6" s="3694"/>
      <c r="T6" s="3695"/>
      <c r="U6" s="3696"/>
      <c r="V6" s="3686"/>
      <c r="W6" s="3686"/>
      <c r="X6" s="1355"/>
      <c r="Y6" s="3695"/>
      <c r="Z6" s="3696"/>
      <c r="AA6" s="3699"/>
      <c r="AB6" s="3699"/>
      <c r="AC6" s="3752"/>
    </row>
    <row r="7" spans="1:29" s="108" customFormat="1" ht="15.75" thickBot="1">
      <c r="A7" s="362" t="s">
        <v>1679</v>
      </c>
      <c r="B7" s="363"/>
      <c r="C7" s="364">
        <f>'数据-取费表'!B2</f>
        <v>44998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0" t="s">
        <v>1680</v>
      </c>
      <c r="Q7" s="3688"/>
      <c r="R7" s="701" t="s">
        <v>14</v>
      </c>
      <c r="S7" s="702">
        <f t="shared" ref="S7:S15" si="0">F7</f>
        <v>0</v>
      </c>
      <c r="T7" s="701" t="s">
        <v>14</v>
      </c>
      <c r="U7" s="702">
        <f t="shared" ref="U7:U15" si="1">H7</f>
        <v>0</v>
      </c>
      <c r="V7" s="701" t="s">
        <v>14</v>
      </c>
      <c r="W7" s="702">
        <f t="shared" ref="W7:W15" si="2">J7</f>
        <v>0</v>
      </c>
      <c r="X7" s="703"/>
      <c r="Y7" s="3687" t="s">
        <v>1680</v>
      </c>
      <c r="Z7" s="368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0" t="s">
        <v>1683</v>
      </c>
      <c r="Q8" s="3689"/>
      <c r="R8" s="701" t="s">
        <v>14</v>
      </c>
      <c r="S8" s="702">
        <f t="shared" si="0"/>
        <v>100</v>
      </c>
      <c r="T8" s="701" t="s">
        <v>14</v>
      </c>
      <c r="U8" s="702">
        <f t="shared" si="1"/>
        <v>100</v>
      </c>
      <c r="V8" s="701" t="s">
        <v>14</v>
      </c>
      <c r="W8" s="702">
        <f t="shared" si="2"/>
        <v>100</v>
      </c>
      <c r="X8" s="703"/>
      <c r="Y8" s="3687" t="s">
        <v>1683</v>
      </c>
      <c r="Z8" s="368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0"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690"/>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0"/>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90"/>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90"/>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90"/>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77"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78"/>
      <c r="Q16" s="1352"/>
      <c r="R16" s="705"/>
      <c r="S16" s="706"/>
      <c r="T16" s="705"/>
      <c r="U16" s="706"/>
      <c r="V16" s="705"/>
      <c r="W16" s="706"/>
      <c r="X16" s="1355"/>
      <c r="Y16" s="3680"/>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78"/>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78"/>
      <c r="Q18" s="1352"/>
      <c r="R18" s="705"/>
      <c r="S18" s="706"/>
      <c r="T18" s="705"/>
      <c r="U18" s="706"/>
      <c r="V18" s="705"/>
      <c r="W18" s="706"/>
      <c r="X18" s="1355"/>
      <c r="Y18" s="3680"/>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78"/>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78"/>
      <c r="Q20" s="1352"/>
      <c r="R20" s="705"/>
      <c r="S20" s="706"/>
      <c r="T20" s="705"/>
      <c r="U20" s="706"/>
      <c r="V20" s="705"/>
      <c r="W20" s="706"/>
      <c r="X20" s="1355"/>
      <c r="Y20" s="3680"/>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78"/>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78"/>
      <c r="Q22" s="1352"/>
      <c r="R22" s="705"/>
      <c r="S22" s="706"/>
      <c r="T22" s="705"/>
      <c r="U22" s="706"/>
      <c r="V22" s="705"/>
      <c r="W22" s="706"/>
      <c r="X22" s="1355"/>
      <c r="Y22" s="3680"/>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78"/>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78"/>
      <c r="Q24" s="1352"/>
      <c r="R24" s="705"/>
      <c r="S24" s="706"/>
      <c r="T24" s="705"/>
      <c r="U24" s="706"/>
      <c r="V24" s="705"/>
      <c r="W24" s="706"/>
      <c r="X24" s="1355"/>
      <c r="Y24" s="368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78"/>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78"/>
      <c r="Q26" s="1352"/>
      <c r="R26" s="705"/>
      <c r="S26" s="706"/>
      <c r="T26" s="705"/>
      <c r="U26" s="706"/>
      <c r="V26" s="705"/>
      <c r="W26" s="706"/>
      <c r="X26" s="1355"/>
      <c r="Y26" s="36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78"/>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78"/>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78"/>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78"/>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78"/>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81" t="s">
        <v>1696</v>
      </c>
      <c r="Q33" s="1352" t="str">
        <f t="shared" si="11"/>
        <v>建筑类型</v>
      </c>
      <c r="R33" s="705" t="s">
        <v>14</v>
      </c>
      <c r="S33" s="706">
        <f t="shared" si="12"/>
        <v>100</v>
      </c>
      <c r="T33" s="705" t="s">
        <v>14</v>
      </c>
      <c r="U33" s="706">
        <f t="shared" si="13"/>
        <v>100</v>
      </c>
      <c r="V33" s="705" t="s">
        <v>14</v>
      </c>
      <c r="W33" s="706">
        <f t="shared" si="14"/>
        <v>100</v>
      </c>
      <c r="X33" s="1355"/>
      <c r="Y33" s="368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82"/>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82"/>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82"/>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82"/>
      <c r="Q37" s="1352" t="str">
        <f t="shared" si="11"/>
        <v>成新度</v>
      </c>
      <c r="R37" s="705" t="s">
        <v>14</v>
      </c>
      <c r="S37" s="706" t="e">
        <f t="shared" si="12"/>
        <v>#N/A</v>
      </c>
      <c r="T37" s="705" t="s">
        <v>14</v>
      </c>
      <c r="U37" s="706" t="e">
        <f t="shared" si="13"/>
        <v>#N/A</v>
      </c>
      <c r="V37" s="705" t="s">
        <v>14</v>
      </c>
      <c r="W37" s="706" t="e">
        <f t="shared" si="14"/>
        <v>#N/A</v>
      </c>
      <c r="X37" s="1355"/>
      <c r="Y37" s="368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82"/>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82" t="s">
        <v>1696</v>
      </c>
      <c r="Q39" s="1352" t="str">
        <f t="shared" si="11"/>
        <v>物业管理</v>
      </c>
      <c r="R39" s="705" t="s">
        <v>14</v>
      </c>
      <c r="S39" s="706">
        <f t="shared" si="12"/>
        <v>100</v>
      </c>
      <c r="T39" s="705" t="s">
        <v>14</v>
      </c>
      <c r="U39" s="706">
        <f t="shared" si="13"/>
        <v>100</v>
      </c>
      <c r="V39" s="705" t="s">
        <v>14</v>
      </c>
      <c r="W39" s="706">
        <f t="shared" si="14"/>
        <v>100</v>
      </c>
      <c r="X39" s="1355"/>
      <c r="Y39" s="368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82"/>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82"/>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82"/>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82"/>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82"/>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82"/>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83"/>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19"/>
      <c r="M48" s="2711"/>
      <c r="N48" s="2711"/>
      <c r="O48" s="2711"/>
      <c r="P48" s="3690" t="str">
        <f>A48</f>
        <v>成交单价（元/平方米）</v>
      </c>
      <c r="Q48" s="3672"/>
      <c r="R48" s="3673">
        <f>E48</f>
        <v>0</v>
      </c>
      <c r="S48" s="3673"/>
      <c r="T48" s="3673">
        <f>G48</f>
        <v>0</v>
      </c>
      <c r="U48" s="3673"/>
      <c r="V48" s="3673">
        <f>I48</f>
        <v>0</v>
      </c>
      <c r="W48" s="367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19"/>
      <c r="M49" s="2711"/>
      <c r="N49" s="2711"/>
      <c r="O49" s="2711"/>
      <c r="P49" s="3690"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北京银行：</v>
      </c>
    </row>
    <row r="4" spans="1:1" ht="36">
      <c r="A4" s="1480" t="str">
        <f>"受贵公司委托，我公司对"&amp;项目基本情况!S1&amp;"进行了预评估。"</f>
        <v>受贵公司委托，我公司对北京市朝阳区育慧西里10号楼3层全部房地产抵押价值进行了预评估。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估价对象为北京市朝阳区育慧西里10号楼3层全部房地产，为北京海纳川酒店管理有限公司所有。根据《国有土地使用证》[]，估价对象（分摊）出让国有建设用地使用权面积为0平方米，建筑面积为611.12平方米。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611.12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91" t="s">
        <v>1771</v>
      </c>
      <c r="S4" s="3692"/>
      <c r="T4" s="3691" t="s">
        <v>1772</v>
      </c>
      <c r="U4" s="3692"/>
      <c r="V4" s="3686" t="s">
        <v>1773</v>
      </c>
      <c r="W4" s="3686"/>
      <c r="X4" s="1355"/>
      <c r="Y4" s="3691" t="s">
        <v>1775</v>
      </c>
      <c r="Z4" s="3692"/>
      <c r="AA4" s="3697" t="s">
        <v>1771</v>
      </c>
      <c r="AB4" s="3698" t="s">
        <v>1772</v>
      </c>
      <c r="AC4" s="3697" t="s">
        <v>1773</v>
      </c>
    </row>
    <row r="5" spans="1:29" ht="15">
      <c r="A5" s="358"/>
      <c r="B5" s="359"/>
      <c r="C5" s="3710" t="s">
        <v>1673</v>
      </c>
      <c r="D5" s="3711"/>
      <c r="E5" s="3746" t="s">
        <v>1674</v>
      </c>
      <c r="F5" s="3713"/>
      <c r="G5" s="3710" t="s">
        <v>1675</v>
      </c>
      <c r="H5" s="3711"/>
      <c r="I5" s="3710" t="s">
        <v>1676</v>
      </c>
      <c r="J5" s="3711"/>
      <c r="K5" s="559"/>
      <c r="L5" s="913"/>
      <c r="M5" s="914"/>
      <c r="N5" s="914"/>
      <c r="O5" s="914"/>
      <c r="P5" s="3706"/>
      <c r="Q5" s="3707"/>
      <c r="R5" s="3693"/>
      <c r="S5" s="3694"/>
      <c r="T5" s="3693"/>
      <c r="U5" s="3694"/>
      <c r="V5" s="3686"/>
      <c r="W5" s="3686"/>
      <c r="X5" s="1355"/>
      <c r="Y5" s="3693"/>
      <c r="Z5" s="3694"/>
      <c r="AA5" s="3698"/>
      <c r="AB5" s="3698"/>
      <c r="AC5" s="3698"/>
    </row>
    <row r="6" spans="1:29" ht="15.75" thickBot="1">
      <c r="A6" s="360"/>
      <c r="B6" s="361"/>
      <c r="C6" s="3743" t="s">
        <v>1677</v>
      </c>
      <c r="D6" s="3716"/>
      <c r="E6" s="3744" t="s">
        <v>1677</v>
      </c>
      <c r="F6" s="3745"/>
      <c r="G6" s="3743" t="s">
        <v>1677</v>
      </c>
      <c r="H6" s="3716"/>
      <c r="I6" s="3743" t="s">
        <v>1677</v>
      </c>
      <c r="J6" s="3716"/>
      <c r="K6" s="559" t="s">
        <v>1678</v>
      </c>
      <c r="L6" s="913"/>
      <c r="M6" s="914"/>
      <c r="N6" s="914"/>
      <c r="O6" s="914"/>
      <c r="P6" s="3708"/>
      <c r="Q6" s="3709"/>
      <c r="R6" s="3693"/>
      <c r="S6" s="3694"/>
      <c r="T6" s="3695"/>
      <c r="U6" s="3696"/>
      <c r="V6" s="3686"/>
      <c r="W6" s="3686"/>
      <c r="X6" s="1355"/>
      <c r="Y6" s="3695"/>
      <c r="Z6" s="3696"/>
      <c r="AA6" s="3699"/>
      <c r="AB6" s="3699"/>
      <c r="AC6" s="3699"/>
    </row>
    <row r="7" spans="1:29" s="108" customFormat="1" ht="15.75" thickBot="1">
      <c r="A7" s="362" t="s">
        <v>1679</v>
      </c>
      <c r="B7" s="363"/>
      <c r="C7" s="364">
        <f>'数据-取费表'!B2</f>
        <v>44998</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1680</v>
      </c>
      <c r="Q7" s="3688"/>
      <c r="R7" s="701" t="s">
        <v>14</v>
      </c>
      <c r="S7" s="702">
        <f t="shared" ref="S7:S15" si="0">F7</f>
        <v>0</v>
      </c>
      <c r="T7" s="701" t="s">
        <v>14</v>
      </c>
      <c r="U7" s="702">
        <f t="shared" ref="U7:U15" si="1">H7</f>
        <v>0</v>
      </c>
      <c r="V7" s="701" t="s">
        <v>14</v>
      </c>
      <c r="W7" s="702">
        <f t="shared" ref="W7:W15" si="2">J7</f>
        <v>0</v>
      </c>
      <c r="X7" s="703"/>
      <c r="Y7" s="3687"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9"/>
      <c r="R8" s="701" t="s">
        <v>14</v>
      </c>
      <c r="S8" s="702">
        <f t="shared" si="0"/>
        <v>100</v>
      </c>
      <c r="T8" s="701" t="s">
        <v>14</v>
      </c>
      <c r="U8" s="702">
        <f t="shared" si="1"/>
        <v>100</v>
      </c>
      <c r="V8" s="701" t="s">
        <v>14</v>
      </c>
      <c r="W8" s="702">
        <f t="shared" si="2"/>
        <v>100</v>
      </c>
      <c r="X8" s="703"/>
      <c r="Y8" s="3687"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2"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72"/>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2"/>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2"/>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2"/>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2"/>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2" t="s">
        <v>1696</v>
      </c>
      <c r="Q29" s="1352" t="str">
        <f t="shared" si="11"/>
        <v>建筑类型</v>
      </c>
      <c r="R29" s="705" t="s">
        <v>14</v>
      </c>
      <c r="S29" s="706">
        <f t="shared" si="12"/>
        <v>100</v>
      </c>
      <c r="T29" s="705" t="s">
        <v>14</v>
      </c>
      <c r="U29" s="706">
        <f t="shared" si="13"/>
        <v>100</v>
      </c>
      <c r="V29" s="705" t="s">
        <v>14</v>
      </c>
      <c r="W29" s="706">
        <f t="shared" si="14"/>
        <v>100</v>
      </c>
      <c r="X29" s="1355"/>
      <c r="Y29" s="368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4"/>
      <c r="Q30" s="707" t="str">
        <f t="shared" si="11"/>
        <v>项目建筑规模</v>
      </c>
      <c r="R30" s="708" t="s">
        <v>14</v>
      </c>
      <c r="S30" s="709" t="e">
        <f t="shared" si="12"/>
        <v>#N/A</v>
      </c>
      <c r="T30" s="708" t="s">
        <v>14</v>
      </c>
      <c r="U30" s="709" t="e">
        <f t="shared" si="13"/>
        <v>#N/A</v>
      </c>
      <c r="V30" s="708" t="s">
        <v>14</v>
      </c>
      <c r="W30" s="709" t="e">
        <f t="shared" si="14"/>
        <v>#N/A</v>
      </c>
      <c r="X30" s="710"/>
      <c r="Y30" s="368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4"/>
      <c r="Q33" s="1352" t="str">
        <f t="shared" si="11"/>
        <v>成新度</v>
      </c>
      <c r="R33" s="705" t="s">
        <v>14</v>
      </c>
      <c r="S33" s="706" t="e">
        <f t="shared" si="12"/>
        <v>#N/A</v>
      </c>
      <c r="T33" s="705" t="s">
        <v>14</v>
      </c>
      <c r="U33" s="706" t="e">
        <f t="shared" si="13"/>
        <v>#N/A</v>
      </c>
      <c r="V33" s="705" t="s">
        <v>14</v>
      </c>
      <c r="W33" s="706" t="e">
        <f t="shared" si="14"/>
        <v>#N/A</v>
      </c>
      <c r="X33" s="1355"/>
      <c r="Y33" s="368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4" t="s">
        <v>1696</v>
      </c>
      <c r="Q35" s="1352" t="str">
        <f t="shared" si="11"/>
        <v>市政基础设施</v>
      </c>
      <c r="R35" s="705" t="s">
        <v>14</v>
      </c>
      <c r="S35" s="706">
        <f t="shared" si="12"/>
        <v>100</v>
      </c>
      <c r="T35" s="705" t="s">
        <v>14</v>
      </c>
      <c r="U35" s="706">
        <f t="shared" si="13"/>
        <v>100</v>
      </c>
      <c r="V35" s="705" t="s">
        <v>14</v>
      </c>
      <c r="W35" s="706">
        <f t="shared" si="14"/>
        <v>100</v>
      </c>
      <c r="X35" s="1355"/>
      <c r="Y35" s="368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4"/>
      <c r="Q38" s="707">
        <f t="shared" si="11"/>
        <v>111</v>
      </c>
      <c r="R38" s="708" t="s">
        <v>14</v>
      </c>
      <c r="S38" s="709">
        <f t="shared" si="12"/>
        <v>100</v>
      </c>
      <c r="T38" s="708" t="s">
        <v>14</v>
      </c>
      <c r="U38" s="709">
        <f t="shared" si="13"/>
        <v>100</v>
      </c>
      <c r="V38" s="708" t="s">
        <v>14</v>
      </c>
      <c r="W38" s="709">
        <f t="shared" si="14"/>
        <v>100</v>
      </c>
      <c r="X38" s="710"/>
      <c r="Y38" s="36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2" t="str">
        <f>A41</f>
        <v>成交单价（元/平方米）</v>
      </c>
      <c r="Q41" s="3672"/>
      <c r="R41" s="3673">
        <f>E41</f>
        <v>0</v>
      </c>
      <c r="S41" s="3673"/>
      <c r="T41" s="3673">
        <f>G41</f>
        <v>0</v>
      </c>
      <c r="U41" s="3673"/>
      <c r="V41" s="3673">
        <f>I41</f>
        <v>0</v>
      </c>
      <c r="W41" s="367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91" t="s">
        <v>1771</v>
      </c>
      <c r="S4" s="3692"/>
      <c r="T4" s="3691" t="s">
        <v>1772</v>
      </c>
      <c r="U4" s="3692"/>
      <c r="V4" s="3686" t="s">
        <v>1773</v>
      </c>
      <c r="W4" s="3686"/>
      <c r="X4" s="1355"/>
      <c r="Y4" s="3691" t="s">
        <v>1775</v>
      </c>
      <c r="Z4" s="3692"/>
      <c r="AA4" s="3697" t="s">
        <v>1771</v>
      </c>
      <c r="AB4" s="3698" t="s">
        <v>1772</v>
      </c>
      <c r="AC4" s="3697" t="s">
        <v>1773</v>
      </c>
    </row>
    <row r="5" spans="1:29" ht="15">
      <c r="A5" s="358"/>
      <c r="B5" s="359"/>
      <c r="C5" s="3710" t="s">
        <v>1673</v>
      </c>
      <c r="D5" s="3711"/>
      <c r="E5" s="3746" t="s">
        <v>1674</v>
      </c>
      <c r="F5" s="3713"/>
      <c r="G5" s="3710" t="s">
        <v>1675</v>
      </c>
      <c r="H5" s="3711"/>
      <c r="I5" s="3710" t="s">
        <v>1676</v>
      </c>
      <c r="J5" s="3711"/>
      <c r="K5" s="559"/>
      <c r="L5" s="2710"/>
      <c r="M5" s="2711"/>
      <c r="N5" s="2711"/>
      <c r="O5" s="2711"/>
      <c r="P5" s="3706"/>
      <c r="Q5" s="3707"/>
      <c r="R5" s="3693"/>
      <c r="S5" s="3694"/>
      <c r="T5" s="3693"/>
      <c r="U5" s="3694"/>
      <c r="V5" s="3686"/>
      <c r="W5" s="3686"/>
      <c r="X5" s="1355"/>
      <c r="Y5" s="3693"/>
      <c r="Z5" s="3694"/>
      <c r="AA5" s="3698"/>
      <c r="AB5" s="3698"/>
      <c r="AC5" s="3698"/>
    </row>
    <row r="6" spans="1:29" ht="15.75" thickBot="1">
      <c r="A6" s="360"/>
      <c r="B6" s="361"/>
      <c r="C6" s="3743" t="s">
        <v>1677</v>
      </c>
      <c r="D6" s="3716"/>
      <c r="E6" s="3744" t="s">
        <v>1677</v>
      </c>
      <c r="F6" s="3745"/>
      <c r="G6" s="3743" t="s">
        <v>1677</v>
      </c>
      <c r="H6" s="3716"/>
      <c r="I6" s="3743" t="s">
        <v>1677</v>
      </c>
      <c r="J6" s="3716"/>
      <c r="K6" s="559" t="s">
        <v>1678</v>
      </c>
      <c r="L6" s="2710"/>
      <c r="M6" s="2711"/>
      <c r="N6" s="2711"/>
      <c r="O6" s="2711"/>
      <c r="P6" s="3708"/>
      <c r="Q6" s="3709"/>
      <c r="R6" s="3693"/>
      <c r="S6" s="3694"/>
      <c r="T6" s="3695"/>
      <c r="U6" s="3696"/>
      <c r="V6" s="3686"/>
      <c r="W6" s="3686"/>
      <c r="X6" s="1355"/>
      <c r="Y6" s="3695"/>
      <c r="Z6" s="3696"/>
      <c r="AA6" s="3699"/>
      <c r="AB6" s="3699"/>
      <c r="AC6" s="3699"/>
    </row>
    <row r="7" spans="1:29" s="108" customFormat="1" ht="15.75" thickBot="1">
      <c r="A7" s="362" t="s">
        <v>1679</v>
      </c>
      <c r="B7" s="363"/>
      <c r="C7" s="364">
        <f>'数据-取费表'!B2</f>
        <v>44998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7" t="s">
        <v>1680</v>
      </c>
      <c r="Q7" s="3688"/>
      <c r="R7" s="701" t="s">
        <v>14</v>
      </c>
      <c r="S7" s="702">
        <f t="shared" ref="S7:S14" si="0">F7</f>
        <v>0</v>
      </c>
      <c r="T7" s="701" t="s">
        <v>14</v>
      </c>
      <c r="U7" s="702">
        <f t="shared" ref="U7:U14" si="1">H7</f>
        <v>0</v>
      </c>
      <c r="V7" s="701" t="s">
        <v>14</v>
      </c>
      <c r="W7" s="702">
        <f t="shared" ref="W7:W14" si="2">J7</f>
        <v>0</v>
      </c>
      <c r="X7" s="703"/>
      <c r="Y7" s="3687"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7" t="s">
        <v>1683</v>
      </c>
      <c r="Q8" s="3689"/>
      <c r="R8" s="701" t="s">
        <v>14</v>
      </c>
      <c r="S8" s="702">
        <f t="shared" si="0"/>
        <v>100</v>
      </c>
      <c r="T8" s="701" t="s">
        <v>14</v>
      </c>
      <c r="U8" s="702">
        <f t="shared" si="1"/>
        <v>100</v>
      </c>
      <c r="V8" s="701" t="s">
        <v>14</v>
      </c>
      <c r="W8" s="702">
        <f t="shared" si="2"/>
        <v>100</v>
      </c>
      <c r="X8" s="703"/>
      <c r="Y8" s="3687"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72"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672"/>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72"/>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72"/>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72"/>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80"/>
      <c r="Q15" s="1352"/>
      <c r="R15" s="705"/>
      <c r="S15" s="706"/>
      <c r="T15" s="705"/>
      <c r="U15" s="706"/>
      <c r="V15" s="705"/>
      <c r="W15" s="706"/>
      <c r="X15" s="1355"/>
      <c r="Y15" s="3680"/>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80"/>
      <c r="Q17" s="1352"/>
      <c r="R17" s="705"/>
      <c r="S17" s="706"/>
      <c r="T17" s="705"/>
      <c r="U17" s="706"/>
      <c r="V17" s="705"/>
      <c r="W17" s="706"/>
      <c r="X17" s="1355"/>
      <c r="Y17" s="3680"/>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80"/>
      <c r="Q19" s="1352"/>
      <c r="R19" s="705"/>
      <c r="S19" s="706"/>
      <c r="T19" s="705"/>
      <c r="U19" s="706"/>
      <c r="V19" s="705"/>
      <c r="W19" s="706"/>
      <c r="X19" s="1355"/>
      <c r="Y19" s="3680"/>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80"/>
      <c r="Q21" s="1352"/>
      <c r="R21" s="705"/>
      <c r="S21" s="706"/>
      <c r="T21" s="705"/>
      <c r="U21" s="706"/>
      <c r="V21" s="705"/>
      <c r="W21" s="706"/>
      <c r="X21" s="1355"/>
      <c r="Y21" s="368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84" t="s">
        <v>1696</v>
      </c>
      <c r="Q32" s="1352" t="str">
        <f t="shared" si="11"/>
        <v>车位类型</v>
      </c>
      <c r="R32" s="705" t="s">
        <v>14</v>
      </c>
      <c r="S32" s="706">
        <f t="shared" si="12"/>
        <v>100</v>
      </c>
      <c r="T32" s="705" t="s">
        <v>14</v>
      </c>
      <c r="U32" s="706">
        <f t="shared" si="13"/>
        <v>100</v>
      </c>
      <c r="V32" s="705" t="s">
        <v>14</v>
      </c>
      <c r="W32" s="706">
        <f t="shared" si="14"/>
        <v>100</v>
      </c>
      <c r="X32" s="1355"/>
      <c r="Y32" s="368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19"/>
      <c r="M37" s="2720"/>
      <c r="N37" s="2711"/>
      <c r="O37" s="2720"/>
      <c r="P37" s="3672" t="str">
        <f>A37</f>
        <v>成交单价</v>
      </c>
      <c r="Q37" s="3672"/>
      <c r="R37" s="3673">
        <f>E37</f>
        <v>0</v>
      </c>
      <c r="S37" s="3673"/>
      <c r="T37" s="3673">
        <f>G37</f>
        <v>0</v>
      </c>
      <c r="U37" s="3673"/>
      <c r="V37" s="3673">
        <f>I37</f>
        <v>0</v>
      </c>
      <c r="W37" s="367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74" t="str">
        <f>A39</f>
        <v>估价对象XX用房的比较价值（楼面单价，元/平方米）</v>
      </c>
      <c r="Q39" s="3675"/>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91" t="s">
        <v>1771</v>
      </c>
      <c r="S4" s="3692"/>
      <c r="T4" s="3691" t="s">
        <v>1772</v>
      </c>
      <c r="U4" s="3692"/>
      <c r="V4" s="3686" t="s">
        <v>1773</v>
      </c>
      <c r="W4" s="3686"/>
      <c r="X4" s="1355"/>
      <c r="Y4" s="3691" t="s">
        <v>1775</v>
      </c>
      <c r="Z4" s="3692"/>
      <c r="AA4" s="3697" t="s">
        <v>1771</v>
      </c>
      <c r="AB4" s="3698" t="s">
        <v>1772</v>
      </c>
      <c r="AC4" s="3697" t="s">
        <v>1773</v>
      </c>
    </row>
    <row r="5" spans="1:29" ht="15">
      <c r="A5" s="358"/>
      <c r="B5" s="359"/>
      <c r="C5" s="3710" t="s">
        <v>1673</v>
      </c>
      <c r="D5" s="3711"/>
      <c r="E5" s="3746" t="s">
        <v>1674</v>
      </c>
      <c r="F5" s="3713"/>
      <c r="G5" s="3710" t="s">
        <v>1675</v>
      </c>
      <c r="H5" s="3711"/>
      <c r="I5" s="3710" t="s">
        <v>1676</v>
      </c>
      <c r="J5" s="3711"/>
      <c r="K5" s="559"/>
      <c r="L5" s="2710"/>
      <c r="M5" s="2711"/>
      <c r="N5" s="2711"/>
      <c r="O5" s="2711"/>
      <c r="P5" s="3706"/>
      <c r="Q5" s="3707"/>
      <c r="R5" s="3693"/>
      <c r="S5" s="3694"/>
      <c r="T5" s="3693"/>
      <c r="U5" s="3694"/>
      <c r="V5" s="3686"/>
      <c r="W5" s="3686"/>
      <c r="X5" s="1355"/>
      <c r="Y5" s="3693"/>
      <c r="Z5" s="3694"/>
      <c r="AA5" s="3698"/>
      <c r="AB5" s="3698"/>
      <c r="AC5" s="3698"/>
    </row>
    <row r="6" spans="1:29" ht="15.75" thickBot="1">
      <c r="A6" s="360"/>
      <c r="B6" s="361"/>
      <c r="C6" s="3743" t="s">
        <v>1677</v>
      </c>
      <c r="D6" s="3716"/>
      <c r="E6" s="3744" t="s">
        <v>1677</v>
      </c>
      <c r="F6" s="3745"/>
      <c r="G6" s="3743" t="s">
        <v>1677</v>
      </c>
      <c r="H6" s="3716"/>
      <c r="I6" s="3743" t="s">
        <v>1677</v>
      </c>
      <c r="J6" s="3716"/>
      <c r="K6" s="559" t="s">
        <v>1678</v>
      </c>
      <c r="L6" s="2710"/>
      <c r="M6" s="2711"/>
      <c r="N6" s="2711"/>
      <c r="O6" s="2711"/>
      <c r="P6" s="3708"/>
      <c r="Q6" s="3709"/>
      <c r="R6" s="3693"/>
      <c r="S6" s="3694"/>
      <c r="T6" s="3695"/>
      <c r="U6" s="3696"/>
      <c r="V6" s="3686"/>
      <c r="W6" s="3686"/>
      <c r="X6" s="1355"/>
      <c r="Y6" s="3695"/>
      <c r="Z6" s="3696"/>
      <c r="AA6" s="3699"/>
      <c r="AB6" s="3699"/>
      <c r="AC6" s="3699"/>
    </row>
    <row r="7" spans="1:29" s="108" customFormat="1" ht="15.75" thickBot="1">
      <c r="A7" s="362" t="s">
        <v>1679</v>
      </c>
      <c r="B7" s="363"/>
      <c r="C7" s="364">
        <f>'数据-取费表'!B2</f>
        <v>44998</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87" t="s">
        <v>1680</v>
      </c>
      <c r="Q7" s="3688"/>
      <c r="R7" s="701" t="s">
        <v>14</v>
      </c>
      <c r="S7" s="702">
        <f t="shared" ref="S7:S14" si="0">F7</f>
        <v>0</v>
      </c>
      <c r="T7" s="701" t="s">
        <v>14</v>
      </c>
      <c r="U7" s="702">
        <f t="shared" ref="U7:U14" si="1">H7</f>
        <v>0</v>
      </c>
      <c r="V7" s="701" t="s">
        <v>14</v>
      </c>
      <c r="W7" s="702">
        <f t="shared" ref="W7:W14" si="2">J7</f>
        <v>0</v>
      </c>
      <c r="X7" s="703"/>
      <c r="Y7" s="3687"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7" t="s">
        <v>1683</v>
      </c>
      <c r="Q8" s="3689"/>
      <c r="R8" s="701" t="s">
        <v>14</v>
      </c>
      <c r="S8" s="702">
        <f t="shared" si="0"/>
        <v>100</v>
      </c>
      <c r="T8" s="701" t="s">
        <v>14</v>
      </c>
      <c r="U8" s="702">
        <f t="shared" si="1"/>
        <v>100</v>
      </c>
      <c r="V8" s="701" t="s">
        <v>14</v>
      </c>
      <c r="W8" s="702">
        <f t="shared" si="2"/>
        <v>100</v>
      </c>
      <c r="X8" s="703"/>
      <c r="Y8" s="3687"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72"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672"/>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72"/>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72"/>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72"/>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80"/>
      <c r="Q15" s="1352"/>
      <c r="R15" s="705"/>
      <c r="S15" s="706"/>
      <c r="T15" s="705"/>
      <c r="U15" s="706"/>
      <c r="V15" s="705"/>
      <c r="W15" s="706"/>
      <c r="X15" s="1355"/>
      <c r="Y15" s="3680"/>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80"/>
      <c r="Q17" s="1352"/>
      <c r="R17" s="705"/>
      <c r="S17" s="706"/>
      <c r="T17" s="705"/>
      <c r="U17" s="706"/>
      <c r="V17" s="705"/>
      <c r="W17" s="706"/>
      <c r="X17" s="1355"/>
      <c r="Y17" s="3680"/>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80"/>
      <c r="Q19" s="1352"/>
      <c r="R19" s="705"/>
      <c r="S19" s="706"/>
      <c r="T19" s="705"/>
      <c r="U19" s="706"/>
      <c r="V19" s="705"/>
      <c r="W19" s="706"/>
      <c r="X19" s="1355"/>
      <c r="Y19" s="3680"/>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80"/>
      <c r="Q21" s="1352"/>
      <c r="R21" s="705"/>
      <c r="S21" s="706"/>
      <c r="T21" s="705"/>
      <c r="U21" s="706"/>
      <c r="V21" s="705"/>
      <c r="W21" s="706"/>
      <c r="X21" s="1355"/>
      <c r="Y21" s="36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6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84" t="s">
        <v>1696</v>
      </c>
      <c r="Q32" s="1352">
        <f t="shared" si="11"/>
        <v>111</v>
      </c>
      <c r="R32" s="705" t="s">
        <v>14</v>
      </c>
      <c r="S32" s="706">
        <f t="shared" si="12"/>
        <v>100</v>
      </c>
      <c r="T32" s="705" t="s">
        <v>14</v>
      </c>
      <c r="U32" s="706">
        <f t="shared" si="13"/>
        <v>100</v>
      </c>
      <c r="V32" s="705" t="s">
        <v>14</v>
      </c>
      <c r="W32" s="706">
        <f t="shared" si="14"/>
        <v>100</v>
      </c>
      <c r="X32" s="1355"/>
      <c r="Y32" s="36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672" t="str">
        <f>A35</f>
        <v>成交单价（元/平方米）</v>
      </c>
      <c r="Q35" s="3672"/>
      <c r="R35" s="3673">
        <f>E35</f>
        <v>0</v>
      </c>
      <c r="S35" s="3673"/>
      <c r="T35" s="3673">
        <f>G35</f>
        <v>0</v>
      </c>
      <c r="U35" s="3673"/>
      <c r="V35" s="3673">
        <f>I35</f>
        <v>0</v>
      </c>
      <c r="W35" s="367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74" t="str">
        <f>A37</f>
        <v>估价对象XX用房的比较价值（楼面单价，元/平方米）</v>
      </c>
      <c r="Q37" s="3675"/>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91" t="s">
        <v>1771</v>
      </c>
      <c r="S4" s="3692"/>
      <c r="T4" s="3691" t="s">
        <v>1772</v>
      </c>
      <c r="U4" s="3692"/>
      <c r="V4" s="3686" t="s">
        <v>1773</v>
      </c>
      <c r="W4" s="3686"/>
      <c r="X4" s="1355"/>
      <c r="Y4" s="3691" t="s">
        <v>1775</v>
      </c>
      <c r="Z4" s="3692"/>
      <c r="AA4" s="3697" t="s">
        <v>1771</v>
      </c>
      <c r="AB4" s="3698" t="s">
        <v>1772</v>
      </c>
      <c r="AC4" s="3697" t="s">
        <v>1773</v>
      </c>
    </row>
    <row r="5" spans="1:30" ht="15">
      <c r="A5" s="358"/>
      <c r="B5" s="359"/>
      <c r="C5" s="3710" t="s">
        <v>1673</v>
      </c>
      <c r="D5" s="3711"/>
      <c r="E5" s="3746" t="s">
        <v>1674</v>
      </c>
      <c r="F5" s="3713"/>
      <c r="G5" s="3710" t="s">
        <v>1675</v>
      </c>
      <c r="H5" s="3711"/>
      <c r="I5" s="3710" t="s">
        <v>1676</v>
      </c>
      <c r="J5" s="3711"/>
      <c r="K5" s="559"/>
      <c r="L5" s="2710"/>
      <c r="M5" s="2711"/>
      <c r="N5" s="2711"/>
      <c r="O5" s="2711"/>
      <c r="P5" s="3706"/>
      <c r="Q5" s="3707"/>
      <c r="R5" s="3693"/>
      <c r="S5" s="3694"/>
      <c r="T5" s="3693"/>
      <c r="U5" s="3694"/>
      <c r="V5" s="3686"/>
      <c r="W5" s="3686"/>
      <c r="X5" s="1355"/>
      <c r="Y5" s="3693"/>
      <c r="Z5" s="3694"/>
      <c r="AA5" s="3698"/>
      <c r="AB5" s="3698"/>
      <c r="AC5" s="3698"/>
    </row>
    <row r="6" spans="1:30" ht="15.75" thickBot="1">
      <c r="A6" s="360"/>
      <c r="B6" s="361"/>
      <c r="C6" s="3743" t="s">
        <v>1677</v>
      </c>
      <c r="D6" s="3716"/>
      <c r="E6" s="3744" t="s">
        <v>1677</v>
      </c>
      <c r="F6" s="3745"/>
      <c r="G6" s="3743" t="s">
        <v>1677</v>
      </c>
      <c r="H6" s="3716"/>
      <c r="I6" s="3743" t="s">
        <v>1677</v>
      </c>
      <c r="J6" s="3716"/>
      <c r="K6" s="559" t="s">
        <v>1678</v>
      </c>
      <c r="L6" s="2710"/>
      <c r="M6" s="2711"/>
      <c r="N6" s="2711"/>
      <c r="O6" s="2711"/>
      <c r="P6" s="3708"/>
      <c r="Q6" s="3709"/>
      <c r="R6" s="3693"/>
      <c r="S6" s="3694"/>
      <c r="T6" s="3695"/>
      <c r="U6" s="3696"/>
      <c r="V6" s="3686"/>
      <c r="W6" s="3686"/>
      <c r="X6" s="1355"/>
      <c r="Y6" s="3695"/>
      <c r="Z6" s="3696"/>
      <c r="AA6" s="3699"/>
      <c r="AB6" s="3699"/>
      <c r="AC6" s="3699"/>
    </row>
    <row r="7" spans="1:30" s="108" customFormat="1" ht="15.75" thickBot="1">
      <c r="A7" s="362" t="s">
        <v>1679</v>
      </c>
      <c r="B7" s="363"/>
      <c r="C7" s="364">
        <f>'数据-取费表'!B2</f>
        <v>44998</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87" t="s">
        <v>1680</v>
      </c>
      <c r="Q7" s="3688"/>
      <c r="R7" s="701" t="s">
        <v>14</v>
      </c>
      <c r="S7" s="702">
        <f t="shared" ref="S7:S15" si="0">F7</f>
        <v>0</v>
      </c>
      <c r="T7" s="701" t="s">
        <v>14</v>
      </c>
      <c r="U7" s="702">
        <f t="shared" ref="U7:U15" si="1">H7</f>
        <v>0</v>
      </c>
      <c r="V7" s="701" t="s">
        <v>14</v>
      </c>
      <c r="W7" s="702">
        <f t="shared" ref="W7:W15" si="2">J7</f>
        <v>0</v>
      </c>
      <c r="X7" s="703"/>
      <c r="Y7" s="3687"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7" t="s">
        <v>1683</v>
      </c>
      <c r="Q8" s="3689"/>
      <c r="R8" s="701" t="s">
        <v>14</v>
      </c>
      <c r="S8" s="702">
        <f t="shared" si="0"/>
        <v>0</v>
      </c>
      <c r="T8" s="701" t="s">
        <v>14</v>
      </c>
      <c r="U8" s="702">
        <f t="shared" si="1"/>
        <v>0</v>
      </c>
      <c r="V8" s="701" t="s">
        <v>14</v>
      </c>
      <c r="W8" s="702">
        <f t="shared" si="2"/>
        <v>0</v>
      </c>
      <c r="X8" s="703"/>
      <c r="Y8" s="3687"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72"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4"/>
      <c r="M10" s="2715"/>
      <c r="N10" s="2715"/>
      <c r="O10" s="2768"/>
      <c r="P10" s="3672"/>
      <c r="Q10" s="1343" t="str">
        <f t="shared" si="6"/>
        <v>土地使用年限（年）</v>
      </c>
      <c r="R10" s="701" t="s">
        <v>14</v>
      </c>
      <c r="S10" s="702">
        <f t="shared" si="0"/>
        <v>138</v>
      </c>
      <c r="T10" s="701" t="s">
        <v>14</v>
      </c>
      <c r="U10" s="702">
        <f t="shared" si="1"/>
        <v>138</v>
      </c>
      <c r="V10" s="701" t="s">
        <v>14</v>
      </c>
      <c r="W10" s="702">
        <f t="shared" si="2"/>
        <v>138</v>
      </c>
      <c r="X10" s="703"/>
      <c r="Y10" s="3570"/>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72"/>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72"/>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72"/>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72"/>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80"/>
      <c r="Q16" s="1352"/>
      <c r="R16" s="705"/>
      <c r="S16" s="706"/>
      <c r="T16" s="705"/>
      <c r="U16" s="706"/>
      <c r="V16" s="705"/>
      <c r="W16" s="706"/>
      <c r="X16" s="1355"/>
      <c r="Y16" s="3680"/>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80"/>
      <c r="Q18" s="1352"/>
      <c r="R18" s="705"/>
      <c r="S18" s="706"/>
      <c r="T18" s="705"/>
      <c r="U18" s="706"/>
      <c r="V18" s="705"/>
      <c r="W18" s="706"/>
      <c r="X18" s="1355"/>
      <c r="Y18" s="3680"/>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80"/>
      <c r="Q20" s="1352"/>
      <c r="R20" s="705"/>
      <c r="S20" s="706"/>
      <c r="T20" s="705"/>
      <c r="U20" s="706"/>
      <c r="V20" s="705"/>
      <c r="W20" s="706"/>
      <c r="X20" s="1355"/>
      <c r="Y20" s="3680"/>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80"/>
      <c r="Q22" s="1352"/>
      <c r="R22" s="705"/>
      <c r="S22" s="706"/>
      <c r="T22" s="705"/>
      <c r="U22" s="706"/>
      <c r="V22" s="705"/>
      <c r="W22" s="706"/>
      <c r="X22" s="1355"/>
      <c r="Y22" s="368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80"/>
      <c r="Q24" s="1352"/>
      <c r="R24" s="705"/>
      <c r="S24" s="706"/>
      <c r="T24" s="705"/>
      <c r="U24" s="706"/>
      <c r="V24" s="705"/>
      <c r="W24" s="706"/>
      <c r="X24" s="1355"/>
      <c r="Y24" s="3680"/>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80"/>
      <c r="Q26" s="1352"/>
      <c r="R26" s="705"/>
      <c r="S26" s="706"/>
      <c r="T26" s="705"/>
      <c r="U26" s="706"/>
      <c r="V26" s="705"/>
      <c r="W26" s="706"/>
      <c r="X26" s="1355"/>
      <c r="Y26" s="3680"/>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80"/>
      <c r="Q28" s="1343"/>
      <c r="R28" s="701"/>
      <c r="S28" s="702"/>
      <c r="T28" s="701"/>
      <c r="U28" s="702"/>
      <c r="V28" s="701"/>
      <c r="W28" s="702"/>
      <c r="X28" s="703"/>
      <c r="Y28" s="3680"/>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80"/>
      <c r="Q30" s="1343"/>
      <c r="R30" s="701"/>
      <c r="S30" s="702"/>
      <c r="T30" s="701"/>
      <c r="U30" s="702"/>
      <c r="V30" s="701"/>
      <c r="W30" s="702"/>
      <c r="X30" s="703"/>
      <c r="Y30" s="36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80"/>
      <c r="Q33" s="1352"/>
      <c r="R33" s="705"/>
      <c r="S33" s="706"/>
      <c r="T33" s="705"/>
      <c r="U33" s="706"/>
      <c r="V33" s="705"/>
      <c r="W33" s="706"/>
      <c r="X33" s="1355"/>
      <c r="Y33" s="36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2" t="s">
        <v>1696</v>
      </c>
      <c r="Q36" s="1352">
        <f t="shared" si="8"/>
        <v>111</v>
      </c>
      <c r="R36" s="705" t="s">
        <v>14</v>
      </c>
      <c r="S36" s="706">
        <f t="shared" si="10"/>
        <v>100</v>
      </c>
      <c r="T36" s="705" t="s">
        <v>14</v>
      </c>
      <c r="U36" s="706">
        <f t="shared" si="11"/>
        <v>100</v>
      </c>
      <c r="V36" s="705" t="s">
        <v>14</v>
      </c>
      <c r="W36" s="706">
        <f t="shared" si="12"/>
        <v>100</v>
      </c>
      <c r="X36" s="1355"/>
      <c r="Y36" s="368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84" t="s">
        <v>1696</v>
      </c>
      <c r="Q42" s="1352" t="str">
        <f t="shared" si="14"/>
        <v>工程地质条件</v>
      </c>
      <c r="R42" s="705" t="s">
        <v>14</v>
      </c>
      <c r="S42" s="706">
        <f t="shared" si="10"/>
        <v>100</v>
      </c>
      <c r="T42" s="705" t="s">
        <v>14</v>
      </c>
      <c r="U42" s="706">
        <f t="shared" si="11"/>
        <v>100</v>
      </c>
      <c r="V42" s="705" t="s">
        <v>14</v>
      </c>
      <c r="W42" s="706">
        <f t="shared" si="12"/>
        <v>100</v>
      </c>
      <c r="X42" s="1355"/>
      <c r="Y42" s="36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9"/>
      <c r="M46" s="2720"/>
      <c r="N46" s="2711"/>
      <c r="O46" s="2720"/>
      <c r="P46" s="3672" t="str">
        <f>A46</f>
        <v>成交单价</v>
      </c>
      <c r="Q46" s="3672"/>
      <c r="R46" s="3686">
        <f>E46</f>
        <v>0</v>
      </c>
      <c r="S46" s="3686"/>
      <c r="T46" s="3686">
        <f>G46</f>
        <v>0</v>
      </c>
      <c r="U46" s="3686"/>
      <c r="V46" s="3686">
        <f>I46</f>
        <v>0</v>
      </c>
      <c r="W46" s="368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672" t="str">
        <f>A47</f>
        <v>比较价值（元/平方米）</v>
      </c>
      <c r="Q47" s="3672"/>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74" t="str">
        <f>A48</f>
        <v>估价对象XX用房的比较价值（楼面单价，元/平方米）</v>
      </c>
      <c r="Q48" s="3675"/>
      <c r="R48" s="3765" t="e">
        <f>ROUND(IF(D47="简单平均",AVERAGE(R47:W47),R47*F47+T47*H47+V47*J47),0)</f>
        <v>#DIV/0!</v>
      </c>
      <c r="S48" s="3765"/>
      <c r="T48" s="3765"/>
      <c r="U48" s="3765"/>
      <c r="V48" s="3765"/>
      <c r="W48" s="3765"/>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700" t="s">
        <v>1887</v>
      </c>
      <c r="H55" s="3766"/>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611.12</v>
      </c>
      <c r="F56" s="886" t="e">
        <f t="shared" ref="F56:F64" si="15">ROUND(B56*E56/10000,0)</f>
        <v>#DIV/0!</v>
      </c>
      <c r="G56" s="3690"/>
      <c r="H56" s="3672"/>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0" t="s">
        <v>1892</v>
      </c>
      <c r="H57" s="887" t="str">
        <f>项目基本情况!B37</f>
        <v>四级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1"/>
      <c r="H58" s="887" t="str">
        <f>项目基本情况!B37</f>
        <v>四级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1"/>
      <c r="H59" s="887" t="str">
        <f>项目基本情况!B37</f>
        <v>四级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611.12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91" t="s">
        <v>1771</v>
      </c>
      <c r="S4" s="3692"/>
      <c r="T4" s="3691" t="s">
        <v>1772</v>
      </c>
      <c r="U4" s="3692"/>
      <c r="V4" s="3686" t="s">
        <v>1773</v>
      </c>
      <c r="W4" s="3686"/>
      <c r="X4" s="1355"/>
      <c r="Y4" s="3691" t="s">
        <v>1775</v>
      </c>
      <c r="Z4" s="3692"/>
      <c r="AA4" s="3697" t="s">
        <v>1771</v>
      </c>
      <c r="AB4" s="3698" t="s">
        <v>1772</v>
      </c>
      <c r="AC4" s="3697" t="s">
        <v>1773</v>
      </c>
    </row>
    <row r="5" spans="1:29" ht="15">
      <c r="A5" s="358"/>
      <c r="B5" s="359"/>
      <c r="C5" s="3710" t="s">
        <v>1673</v>
      </c>
      <c r="D5" s="3711"/>
      <c r="E5" s="3746" t="s">
        <v>1674</v>
      </c>
      <c r="F5" s="3713"/>
      <c r="G5" s="3710" t="s">
        <v>1675</v>
      </c>
      <c r="H5" s="3711"/>
      <c r="I5" s="3710" t="s">
        <v>1676</v>
      </c>
      <c r="J5" s="3711"/>
      <c r="K5" s="559"/>
      <c r="L5" s="2710"/>
      <c r="M5" s="2711"/>
      <c r="N5" s="2711"/>
      <c r="O5" s="2711"/>
      <c r="P5" s="3706"/>
      <c r="Q5" s="3707"/>
      <c r="R5" s="3693"/>
      <c r="S5" s="3694"/>
      <c r="T5" s="3693"/>
      <c r="U5" s="3694"/>
      <c r="V5" s="3686"/>
      <c r="W5" s="3686"/>
      <c r="X5" s="1355"/>
      <c r="Y5" s="3693"/>
      <c r="Z5" s="3694"/>
      <c r="AA5" s="3698"/>
      <c r="AB5" s="3698"/>
      <c r="AC5" s="3698"/>
    </row>
    <row r="6" spans="1:29" ht="15.75" thickBot="1">
      <c r="A6" s="360"/>
      <c r="B6" s="361"/>
      <c r="C6" s="3767" t="s">
        <v>1919</v>
      </c>
      <c r="D6" s="3768"/>
      <c r="E6" s="3769" t="s">
        <v>1919</v>
      </c>
      <c r="F6" s="3770"/>
      <c r="G6" s="3767" t="s">
        <v>1919</v>
      </c>
      <c r="H6" s="3768"/>
      <c r="I6" s="3767" t="s">
        <v>1919</v>
      </c>
      <c r="J6" s="3768"/>
      <c r="K6" s="559" t="s">
        <v>1678</v>
      </c>
      <c r="L6" s="2710"/>
      <c r="M6" s="2711"/>
      <c r="N6" s="2711"/>
      <c r="O6" s="2711"/>
      <c r="P6" s="3708"/>
      <c r="Q6" s="3709"/>
      <c r="R6" s="3693"/>
      <c r="S6" s="3694"/>
      <c r="T6" s="3695"/>
      <c r="U6" s="3696"/>
      <c r="V6" s="3686"/>
      <c r="W6" s="3686"/>
      <c r="X6" s="1355"/>
      <c r="Y6" s="3695"/>
      <c r="Z6" s="3696"/>
      <c r="AA6" s="3699"/>
      <c r="AB6" s="3699"/>
      <c r="AC6" s="3699"/>
    </row>
    <row r="7" spans="1:29" s="108" customFormat="1" ht="15.75" thickBot="1">
      <c r="A7" s="362" t="s">
        <v>1679</v>
      </c>
      <c r="B7" s="363"/>
      <c r="C7" s="364">
        <f>'数据-取费表'!B2</f>
        <v>44998</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87" t="s">
        <v>1680</v>
      </c>
      <c r="Q7" s="3688"/>
      <c r="R7" s="701" t="s">
        <v>14</v>
      </c>
      <c r="S7" s="702">
        <f t="shared" ref="S7:S15" si="0">F7</f>
        <v>0</v>
      </c>
      <c r="T7" s="701" t="s">
        <v>14</v>
      </c>
      <c r="U7" s="702">
        <f t="shared" ref="U7:U15" si="1">H7</f>
        <v>0</v>
      </c>
      <c r="V7" s="701" t="s">
        <v>14</v>
      </c>
      <c r="W7" s="702">
        <f t="shared" ref="W7:W15" si="2">J7</f>
        <v>0</v>
      </c>
      <c r="X7" s="703"/>
      <c r="Y7" s="3687"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7" t="s">
        <v>1683</v>
      </c>
      <c r="Q8" s="3689"/>
      <c r="R8" s="701" t="s">
        <v>14</v>
      </c>
      <c r="S8" s="702">
        <f t="shared" si="0"/>
        <v>0</v>
      </c>
      <c r="T8" s="701" t="s">
        <v>14</v>
      </c>
      <c r="U8" s="702">
        <f t="shared" si="1"/>
        <v>0</v>
      </c>
      <c r="V8" s="701" t="s">
        <v>14</v>
      </c>
      <c r="W8" s="702">
        <f t="shared" si="2"/>
        <v>0</v>
      </c>
      <c r="X8" s="703"/>
      <c r="Y8" s="3687"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72"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4"/>
      <c r="M10" s="2715"/>
      <c r="N10" s="2715"/>
      <c r="O10" s="2768"/>
      <c r="P10" s="3672"/>
      <c r="Q10" s="1343" t="str">
        <f t="shared" si="6"/>
        <v>土地使用年限（年）</v>
      </c>
      <c r="R10" s="701" t="s">
        <v>14</v>
      </c>
      <c r="S10" s="702">
        <f t="shared" si="0"/>
        <v>138</v>
      </c>
      <c r="T10" s="701" t="s">
        <v>14</v>
      </c>
      <c r="U10" s="702">
        <f t="shared" si="1"/>
        <v>138</v>
      </c>
      <c r="V10" s="701" t="s">
        <v>14</v>
      </c>
      <c r="W10" s="702">
        <f t="shared" si="2"/>
        <v>138</v>
      </c>
      <c r="X10" s="703"/>
      <c r="Y10" s="3570"/>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72"/>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72"/>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72"/>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72"/>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80"/>
      <c r="Q16" s="1352"/>
      <c r="R16" s="705"/>
      <c r="S16" s="706"/>
      <c r="T16" s="705"/>
      <c r="U16" s="706"/>
      <c r="V16" s="705"/>
      <c r="W16" s="706"/>
      <c r="X16" s="1355"/>
      <c r="Y16" s="368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80"/>
      <c r="Q18" s="1352"/>
      <c r="R18" s="705"/>
      <c r="S18" s="706"/>
      <c r="T18" s="705"/>
      <c r="U18" s="706"/>
      <c r="V18" s="705"/>
      <c r="W18" s="706"/>
      <c r="X18" s="1355"/>
      <c r="Y18" s="368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80"/>
      <c r="Q20" s="1352"/>
      <c r="R20" s="705"/>
      <c r="S20" s="706"/>
      <c r="T20" s="705"/>
      <c r="U20" s="706"/>
      <c r="V20" s="705"/>
      <c r="W20" s="706"/>
      <c r="X20" s="1355"/>
      <c r="Y20" s="368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80"/>
      <c r="Q22" s="1352"/>
      <c r="R22" s="705"/>
      <c r="S22" s="706"/>
      <c r="T22" s="705"/>
      <c r="U22" s="706"/>
      <c r="V22" s="705"/>
      <c r="W22" s="706"/>
      <c r="X22" s="1355"/>
      <c r="Y22" s="368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80"/>
      <c r="Q24" s="1343"/>
      <c r="R24" s="701"/>
      <c r="S24" s="702"/>
      <c r="T24" s="701"/>
      <c r="U24" s="702"/>
      <c r="V24" s="701"/>
      <c r="W24" s="702"/>
      <c r="X24" s="703"/>
      <c r="Y24" s="368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80"/>
      <c r="Q26" s="1343"/>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80"/>
      <c r="Q29" s="1352"/>
      <c r="R29" s="705"/>
      <c r="S29" s="706"/>
      <c r="T29" s="705"/>
      <c r="U29" s="706"/>
      <c r="V29" s="705"/>
      <c r="W29" s="706"/>
      <c r="X29" s="1355"/>
      <c r="Y29" s="36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2" t="s">
        <v>1696</v>
      </c>
      <c r="Q32" s="1352">
        <f t="shared" si="8"/>
        <v>111</v>
      </c>
      <c r="R32" s="705" t="s">
        <v>14</v>
      </c>
      <c r="S32" s="706">
        <f t="shared" si="10"/>
        <v>100</v>
      </c>
      <c r="T32" s="705" t="s">
        <v>14</v>
      </c>
      <c r="U32" s="706">
        <f t="shared" si="11"/>
        <v>100</v>
      </c>
      <c r="V32" s="705" t="s">
        <v>14</v>
      </c>
      <c r="W32" s="706">
        <f t="shared" si="12"/>
        <v>100</v>
      </c>
      <c r="X32" s="1355"/>
      <c r="Y32" s="368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84" t="s">
        <v>1696</v>
      </c>
      <c r="Q37" s="1352" t="str">
        <f t="shared" si="14"/>
        <v>工程地质条件</v>
      </c>
      <c r="R37" s="705" t="s">
        <v>14</v>
      </c>
      <c r="S37" s="706">
        <f t="shared" si="10"/>
        <v>100</v>
      </c>
      <c r="T37" s="705" t="s">
        <v>14</v>
      </c>
      <c r="U37" s="706">
        <f t="shared" si="11"/>
        <v>100</v>
      </c>
      <c r="V37" s="705" t="s">
        <v>14</v>
      </c>
      <c r="W37" s="706">
        <f t="shared" si="12"/>
        <v>100</v>
      </c>
      <c r="X37" s="1355"/>
      <c r="Y37" s="36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9"/>
      <c r="M41" s="2711"/>
      <c r="N41" s="2711"/>
      <c r="O41" s="2720"/>
      <c r="P41" s="3672" t="str">
        <f>A41</f>
        <v>成交单价</v>
      </c>
      <c r="Q41" s="3672"/>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672" t="str">
        <f>A42</f>
        <v>比较价值（元/平方米）</v>
      </c>
      <c r="Q42" s="3672"/>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74" t="str">
        <f>A43</f>
        <v>估价对象XX用房的比较价值（楼面单价，元/平方米）</v>
      </c>
      <c r="Q43" s="3675"/>
      <c r="R43" s="3765" t="e">
        <f>ROUND(IF(D42="简单平均",AVERAGE(R42:W42),R42*F42+T42*H42+V42*J42),0)</f>
        <v>#DIV/0!</v>
      </c>
      <c r="S43" s="3765"/>
      <c r="T43" s="3765"/>
      <c r="U43" s="3765"/>
      <c r="V43" s="3765"/>
      <c r="W43" s="3765"/>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3" t="s">
        <v>1883</v>
      </c>
      <c r="D50" s="1984" t="s">
        <v>1884</v>
      </c>
      <c r="E50" s="634" t="s">
        <v>1885</v>
      </c>
      <c r="F50" s="635" t="s">
        <v>1886</v>
      </c>
      <c r="G50" s="3700" t="s">
        <v>1887</v>
      </c>
      <c r="H50" s="3766"/>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611.12</v>
      </c>
      <c r="F51" s="639" t="e">
        <f t="shared" ref="F51:F60" si="15">ROUND(B51*E51/10000,0)</f>
        <v>#DIV/0!</v>
      </c>
      <c r="G51" s="3690"/>
      <c r="H51" s="3672"/>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0" t="s">
        <v>1892</v>
      </c>
      <c r="H52" s="887" t="str">
        <f>项目基本情况!B37</f>
        <v>四级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1"/>
      <c r="H53" s="887" t="str">
        <f>项目基本情况!B37</f>
        <v>四级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1"/>
      <c r="H54" s="887" t="str">
        <f>项目基本情况!B37</f>
        <v>四级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2"/>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8"/>
      <c r="G1" s="2788"/>
      <c r="H1" s="2788"/>
      <c r="I1" s="2788"/>
      <c r="J1" s="2788"/>
      <c r="K1" s="2788"/>
      <c r="L1" s="2788"/>
      <c r="M1" s="2788"/>
      <c r="N1" s="2788"/>
      <c r="O1" s="2788"/>
      <c r="P1" s="2788"/>
    </row>
    <row r="2" spans="1:16" ht="15.75">
      <c r="A2" s="2145" t="s">
        <v>2073</v>
      </c>
      <c r="B2" s="2598">
        <f ca="1">SUMIF(B6:B13,"&lt;&gt;#ref!",B6:B13)</f>
        <v>966</v>
      </c>
      <c r="C2" s="2145" t="s">
        <v>2074</v>
      </c>
      <c r="D2" s="2145" t="s">
        <v>2075</v>
      </c>
      <c r="E2" s="2608">
        <f ca="1">SUMIF(E6:E13,"&lt;&gt;#ref!",E6:E13)</f>
        <v>611.12</v>
      </c>
      <c r="F2" s="2788"/>
      <c r="G2" s="2788"/>
      <c r="H2" s="2788"/>
      <c r="I2" s="2788"/>
      <c r="J2" s="2788"/>
      <c r="K2" s="2788"/>
      <c r="L2" s="2788"/>
      <c r="M2" s="2788"/>
      <c r="N2" s="2788"/>
      <c r="O2" s="2788"/>
      <c r="P2" s="2788"/>
    </row>
    <row r="3" spans="1:16" ht="15.75">
      <c r="A3" s="2145" t="s">
        <v>2076</v>
      </c>
      <c r="B3" s="2598">
        <f ca="1">ROUND(B2*10000/E2,0)</f>
        <v>15807</v>
      </c>
      <c r="C3" s="2145"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2077</v>
      </c>
      <c r="B5" s="2606" t="s">
        <v>2078</v>
      </c>
      <c r="C5" s="2146"/>
      <c r="D5" s="2788"/>
      <c r="E5" s="2607" t="s">
        <v>2079</v>
      </c>
      <c r="F5" s="2788"/>
      <c r="G5" s="2788"/>
      <c r="H5" s="2788"/>
      <c r="I5" s="2788"/>
      <c r="J5" s="2788"/>
      <c r="K5" s="2788"/>
      <c r="L5" s="2788"/>
      <c r="M5" s="2788"/>
      <c r="N5" s="2788"/>
      <c r="O5" s="2788"/>
      <c r="P5" s="2788"/>
    </row>
    <row r="6" spans="1:16" ht="15.75">
      <c r="A6" s="2605" t="s">
        <v>2080</v>
      </c>
      <c r="B6" s="2598">
        <f ca="1">SUMIF(INDIRECT("'"&amp;A6&amp;"'"&amp;"!A:A"),"总价",INDIRECT("'"&amp;A6&amp;"'"&amp;"!B:B"))</f>
        <v>966</v>
      </c>
      <c r="C6" s="2145" t="s">
        <v>2074</v>
      </c>
      <c r="D6" s="2788"/>
      <c r="E6" s="2608">
        <f ca="1">SUMIF(INDIRECT("'"&amp;A6&amp;"'"&amp;"!C:C"),"建筑面积",INDIRECT("'"&amp;A6&amp;"'"&amp;"!D:D"))</f>
        <v>611.12</v>
      </c>
      <c r="F6" s="2788"/>
      <c r="G6" s="2788"/>
      <c r="H6" s="2788"/>
      <c r="I6" s="2788"/>
      <c r="J6" s="2788"/>
      <c r="K6" s="2788"/>
      <c r="L6" s="2788"/>
      <c r="M6" s="2788"/>
      <c r="N6" s="2788"/>
      <c r="O6" s="2788"/>
      <c r="P6" s="2788"/>
    </row>
    <row r="7" spans="1:16" ht="15.75">
      <c r="A7" s="2605"/>
      <c r="B7" s="2598" t="e">
        <f ca="1">SUMIF(INDIRECT("'"&amp;A7&amp;"'"&amp;"!A:A"),"总价",INDIRECT("'"&amp;A7&amp;"'"&amp;"!B:B"))</f>
        <v>#REF!</v>
      </c>
      <c r="C7" s="2145" t="s">
        <v>2074</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5" t="s">
        <v>2074</v>
      </c>
      <c r="D8" s="2788"/>
      <c r="E8" s="2608" t="e">
        <f t="shared" ca="1" si="0"/>
        <v>#REF!</v>
      </c>
      <c r="F8" s="2788"/>
      <c r="G8" s="2788"/>
      <c r="H8" s="2788"/>
      <c r="I8" s="2788"/>
      <c r="J8" s="2788"/>
      <c r="K8" s="2788"/>
      <c r="L8" s="2788"/>
      <c r="M8" s="2788"/>
      <c r="N8" s="2788"/>
      <c r="O8" s="2788"/>
      <c r="P8" s="2788"/>
    </row>
    <row r="9" spans="1:16" ht="15.75">
      <c r="A9" s="2605"/>
      <c r="B9" s="2598" t="e">
        <f t="shared" ca="1" si="1"/>
        <v>#REF!</v>
      </c>
      <c r="C9" s="2145" t="s">
        <v>2074</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5" t="s">
        <v>2074</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5" t="s">
        <v>2074</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5" t="s">
        <v>2074</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5" t="s">
        <v>2074</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780" t="s">
        <v>2604</v>
      </c>
      <c r="B20" s="3775" t="s">
        <v>2625</v>
      </c>
      <c r="C20" s="3097" t="s">
        <v>2436</v>
      </c>
      <c r="D20" s="3098"/>
      <c r="E20" s="3099">
        <v>1</v>
      </c>
      <c r="F20" s="3100" t="s">
        <v>2437</v>
      </c>
      <c r="G20" s="3100"/>
    </row>
    <row r="21" spans="1:13" ht="19.5" customHeight="1">
      <c r="A21" s="3781"/>
      <c r="B21" s="3774"/>
      <c r="C21" s="3101" t="s">
        <v>2438</v>
      </c>
      <c r="D21" s="3102"/>
      <c r="E21" s="3103">
        <v>1</v>
      </c>
      <c r="F21" s="3100" t="s">
        <v>2439</v>
      </c>
      <c r="G21" s="3100"/>
    </row>
    <row r="22" spans="1:13" ht="19.5" customHeight="1">
      <c r="A22" s="3781"/>
      <c r="B22" s="3774"/>
      <c r="C22" s="3101" t="s">
        <v>2440</v>
      </c>
      <c r="D22" s="3102"/>
      <c r="E22" s="3103">
        <v>0.9</v>
      </c>
      <c r="F22" s="3100" t="s">
        <v>2441</v>
      </c>
      <c r="G22" s="3100"/>
    </row>
    <row r="23" spans="1:13" ht="19.5" customHeight="1">
      <c r="A23" s="3781"/>
      <c r="B23" s="3774"/>
      <c r="C23" s="3101" t="s">
        <v>2442</v>
      </c>
      <c r="D23" s="3102"/>
      <c r="E23" s="3103">
        <v>0.9</v>
      </c>
      <c r="F23" s="3100" t="s">
        <v>2443</v>
      </c>
      <c r="G23" s="3100"/>
    </row>
    <row r="24" spans="1:13" ht="19.5" customHeight="1">
      <c r="A24" s="3781"/>
      <c r="B24" s="3774"/>
      <c r="C24" s="3101" t="s">
        <v>2444</v>
      </c>
      <c r="D24" s="3102"/>
      <c r="E24" s="3103">
        <v>0.8</v>
      </c>
      <c r="F24" s="3100" t="s">
        <v>2445</v>
      </c>
      <c r="G24" s="3100"/>
    </row>
    <row r="25" spans="1:13" ht="19.5" customHeight="1" thickBot="1">
      <c r="A25" s="3782"/>
      <c r="B25" s="3776"/>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777" t="s">
        <v>2628</v>
      </c>
      <c r="B27" s="3775" t="s">
        <v>2609</v>
      </c>
      <c r="C27" s="3097" t="s">
        <v>2449</v>
      </c>
      <c r="D27" s="3098"/>
      <c r="E27" s="3099">
        <v>1</v>
      </c>
      <c r="F27" s="3100" t="s">
        <v>2450</v>
      </c>
      <c r="G27" s="3100"/>
    </row>
    <row r="28" spans="1:13" ht="19.5" customHeight="1">
      <c r="A28" s="3778"/>
      <c r="B28" s="3774"/>
      <c r="C28" s="3101" t="s">
        <v>2451</v>
      </c>
      <c r="D28" s="3102"/>
      <c r="E28" s="3103">
        <v>1</v>
      </c>
      <c r="F28" s="3100" t="s">
        <v>2452</v>
      </c>
      <c r="G28" s="3100"/>
    </row>
    <row r="29" spans="1:13" ht="19.5" customHeight="1">
      <c r="A29" s="3778"/>
      <c r="B29" s="3774"/>
      <c r="C29" s="3101" t="s">
        <v>2453</v>
      </c>
      <c r="D29" s="3102"/>
      <c r="E29" s="3103">
        <v>0.8</v>
      </c>
      <c r="F29" s="3100" t="s">
        <v>2454</v>
      </c>
      <c r="G29" s="3100"/>
    </row>
    <row r="30" spans="1:13" ht="19.5" customHeight="1">
      <c r="A30" s="3778"/>
      <c r="B30" s="3774"/>
      <c r="C30" s="3101" t="s">
        <v>2455</v>
      </c>
      <c r="D30" s="3102"/>
      <c r="E30" s="3103">
        <v>0.8</v>
      </c>
      <c r="F30" s="3100" t="s">
        <v>2456</v>
      </c>
      <c r="G30" s="3100"/>
    </row>
    <row r="31" spans="1:13" ht="19.5" customHeight="1">
      <c r="A31" s="3778"/>
      <c r="B31" s="3774"/>
      <c r="C31" s="3101" t="s">
        <v>2457</v>
      </c>
      <c r="D31" s="3102"/>
      <c r="E31" s="3103">
        <v>0.8</v>
      </c>
      <c r="F31" s="3100" t="s">
        <v>2458</v>
      </c>
      <c r="G31" s="3100"/>
    </row>
    <row r="32" spans="1:13" ht="19.5" customHeight="1">
      <c r="A32" s="3778"/>
      <c r="B32" s="3774"/>
      <c r="C32" s="3101" t="s">
        <v>2459</v>
      </c>
      <c r="D32" s="3102"/>
      <c r="E32" s="3103">
        <v>0.7</v>
      </c>
      <c r="F32" s="3100" t="s">
        <v>2460</v>
      </c>
      <c r="G32" s="3100"/>
    </row>
    <row r="33" spans="1:7" ht="19.5" customHeight="1">
      <c r="A33" s="3778"/>
      <c r="B33" s="3774"/>
      <c r="C33" s="3101" t="s">
        <v>2461</v>
      </c>
      <c r="D33" s="3102"/>
      <c r="E33" s="3103">
        <v>0.8</v>
      </c>
      <c r="F33" s="3100" t="s">
        <v>2462</v>
      </c>
      <c r="G33" s="3100"/>
    </row>
    <row r="34" spans="1:7" ht="19.5" customHeight="1">
      <c r="A34" s="3778"/>
      <c r="B34" s="3774"/>
      <c r="C34" s="3101" t="s">
        <v>2463</v>
      </c>
      <c r="D34" s="3102"/>
      <c r="E34" s="3103">
        <v>0.6</v>
      </c>
      <c r="F34" s="3100" t="s">
        <v>2464</v>
      </c>
      <c r="G34" s="3100"/>
    </row>
    <row r="35" spans="1:7" ht="19.5" customHeight="1">
      <c r="A35" s="3778"/>
      <c r="B35" s="3774"/>
      <c r="C35" s="3101" t="s">
        <v>2465</v>
      </c>
      <c r="D35" s="3102"/>
      <c r="E35" s="3103">
        <v>0.2</v>
      </c>
      <c r="F35" s="3100" t="s">
        <v>2466</v>
      </c>
      <c r="G35" s="3100"/>
    </row>
    <row r="36" spans="1:7" ht="19.5" customHeight="1">
      <c r="A36" s="3778"/>
      <c r="B36" s="3774"/>
      <c r="C36" s="3101" t="s">
        <v>2467</v>
      </c>
      <c r="D36" s="3102"/>
      <c r="E36" s="3103">
        <v>0.2</v>
      </c>
      <c r="F36" s="3100" t="s">
        <v>2468</v>
      </c>
      <c r="G36" s="3100"/>
    </row>
    <row r="37" spans="1:7" ht="19.5" customHeight="1">
      <c r="A37" s="3778"/>
      <c r="B37" s="3772" t="s">
        <v>2629</v>
      </c>
      <c r="C37" s="3101" t="s">
        <v>2469</v>
      </c>
      <c r="D37" s="3102"/>
      <c r="E37" s="3103">
        <v>0.6</v>
      </c>
      <c r="F37" s="3100" t="s">
        <v>2470</v>
      </c>
      <c r="G37" s="3100"/>
    </row>
    <row r="38" spans="1:7" ht="19.5" customHeight="1">
      <c r="A38" s="3778"/>
      <c r="B38" s="3774"/>
      <c r="C38" s="3101" t="s">
        <v>2471</v>
      </c>
      <c r="D38" s="3102"/>
      <c r="E38" s="3103">
        <v>0.6</v>
      </c>
      <c r="F38" s="3100" t="s">
        <v>2472</v>
      </c>
      <c r="G38" s="3100"/>
    </row>
    <row r="39" spans="1:7" ht="19.5" customHeight="1" thickBot="1">
      <c r="A39" s="3779"/>
      <c r="B39" s="3776"/>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780" t="s">
        <v>2607</v>
      </c>
      <c r="B41" s="3775" t="s">
        <v>2631</v>
      </c>
      <c r="C41" s="3097" t="s">
        <v>2476</v>
      </c>
      <c r="D41" s="3098"/>
      <c r="E41" s="3099">
        <v>1</v>
      </c>
      <c r="F41" s="3100" t="s">
        <v>2477</v>
      </c>
      <c r="G41" s="3100"/>
    </row>
    <row r="42" spans="1:7" ht="19.5" customHeight="1">
      <c r="A42" s="3781"/>
      <c r="B42" s="3774"/>
      <c r="C42" s="3101" t="s">
        <v>2478</v>
      </c>
      <c r="D42" s="3102"/>
      <c r="E42" s="3103">
        <v>1</v>
      </c>
      <c r="F42" s="3100" t="s">
        <v>2479</v>
      </c>
      <c r="G42" s="3100"/>
    </row>
    <row r="43" spans="1:7" ht="19.5" customHeight="1">
      <c r="A43" s="3781"/>
      <c r="B43" s="3773"/>
      <c r="C43" s="3101" t="s">
        <v>2480</v>
      </c>
      <c r="D43" s="3102"/>
      <c r="E43" s="3103">
        <v>1.5</v>
      </c>
      <c r="F43" s="3100" t="s">
        <v>2481</v>
      </c>
      <c r="G43" s="3100"/>
    </row>
    <row r="44" spans="1:7" ht="19.5" customHeight="1">
      <c r="A44" s="3781"/>
      <c r="B44" s="3112" t="s">
        <v>2632</v>
      </c>
      <c r="C44" s="3101" t="s">
        <v>2633</v>
      </c>
      <c r="D44" s="3102"/>
      <c r="E44" s="3103">
        <v>2</v>
      </c>
      <c r="F44" s="3100" t="s">
        <v>2482</v>
      </c>
      <c r="G44" s="3100"/>
    </row>
    <row r="45" spans="1:7" ht="19.5" customHeight="1">
      <c r="A45" s="3781"/>
      <c r="B45" s="3772" t="s">
        <v>2634</v>
      </c>
      <c r="C45" s="3101" t="s">
        <v>2483</v>
      </c>
      <c r="D45" s="3102"/>
      <c r="E45" s="3103">
        <v>1</v>
      </c>
      <c r="F45" s="3100" t="s">
        <v>2484</v>
      </c>
      <c r="G45" s="3100"/>
    </row>
    <row r="46" spans="1:7" ht="19.5" customHeight="1">
      <c r="A46" s="3781"/>
      <c r="B46" s="3774"/>
      <c r="C46" s="3101" t="s">
        <v>2485</v>
      </c>
      <c r="D46" s="3102"/>
      <c r="E46" s="3103">
        <v>1</v>
      </c>
      <c r="F46" s="3100" t="s">
        <v>2486</v>
      </c>
      <c r="G46" s="3100"/>
    </row>
    <row r="47" spans="1:7" ht="19.5" customHeight="1">
      <c r="A47" s="3781"/>
      <c r="B47" s="3774"/>
      <c r="C47" s="3101" t="s">
        <v>2487</v>
      </c>
      <c r="D47" s="3102"/>
      <c r="E47" s="3103">
        <v>1</v>
      </c>
      <c r="F47" s="3100" t="s">
        <v>2488</v>
      </c>
      <c r="G47" s="3100"/>
    </row>
    <row r="48" spans="1:7" ht="19.5" customHeight="1">
      <c r="A48" s="3781"/>
      <c r="B48" s="3774"/>
      <c r="C48" s="3101" t="s">
        <v>2489</v>
      </c>
      <c r="D48" s="3102"/>
      <c r="E48" s="3103">
        <v>1</v>
      </c>
      <c r="F48" s="3100" t="s">
        <v>2490</v>
      </c>
      <c r="G48" s="3100"/>
    </row>
    <row r="49" spans="1:7" ht="19.5" customHeight="1">
      <c r="A49" s="3781"/>
      <c r="B49" s="3774"/>
      <c r="C49" s="3101" t="s">
        <v>2491</v>
      </c>
      <c r="D49" s="3102"/>
      <c r="E49" s="3103">
        <v>1</v>
      </c>
      <c r="F49" s="3100" t="s">
        <v>2492</v>
      </c>
      <c r="G49" s="3100"/>
    </row>
    <row r="50" spans="1:7" ht="19.5" customHeight="1">
      <c r="A50" s="3781"/>
      <c r="B50" s="3774"/>
      <c r="C50" s="3101" t="s">
        <v>2493</v>
      </c>
      <c r="D50" s="3102"/>
      <c r="E50" s="3103">
        <v>1</v>
      </c>
      <c r="F50" s="3100" t="s">
        <v>2494</v>
      </c>
      <c r="G50" s="3100"/>
    </row>
    <row r="51" spans="1:7" ht="19.5" customHeight="1" thickBot="1">
      <c r="A51" s="3782"/>
      <c r="B51" s="3776"/>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3.5">
      <c r="A72" s="3112"/>
      <c r="B72" s="3112"/>
      <c r="C72" s="3112" t="s">
        <v>2647</v>
      </c>
      <c r="D72" s="3112"/>
      <c r="E72" s="3112" t="s">
        <v>2618</v>
      </c>
      <c r="F72" s="3112" t="s">
        <v>2618</v>
      </c>
    </row>
    <row r="73" spans="1:7" ht="13.5">
      <c r="A73" s="3112">
        <v>1</v>
      </c>
      <c r="B73" s="3772" t="s">
        <v>2648</v>
      </c>
      <c r="C73" s="3086" t="s">
        <v>2649</v>
      </c>
      <c r="D73" s="3086" t="s">
        <v>2650</v>
      </c>
      <c r="E73" s="3112">
        <v>0.2</v>
      </c>
      <c r="F73" s="3112">
        <v>25</v>
      </c>
    </row>
    <row r="74" spans="1:7" ht="24">
      <c r="A74" s="3112">
        <v>2</v>
      </c>
      <c r="B74" s="3774"/>
      <c r="C74" s="3086" t="s">
        <v>2651</v>
      </c>
      <c r="D74" s="3086" t="s">
        <v>2652</v>
      </c>
      <c r="E74" s="3112">
        <v>0.2</v>
      </c>
      <c r="F74" s="3112">
        <v>25</v>
      </c>
    </row>
    <row r="75" spans="1:7" ht="24">
      <c r="A75" s="3112">
        <v>3</v>
      </c>
      <c r="B75" s="3774"/>
      <c r="C75" s="3086" t="s">
        <v>2653</v>
      </c>
      <c r="D75" s="3086" t="s">
        <v>2654</v>
      </c>
      <c r="E75" s="3112">
        <v>0.2</v>
      </c>
      <c r="F75" s="3112">
        <v>25</v>
      </c>
    </row>
    <row r="76" spans="1:7" ht="13.5">
      <c r="A76" s="3112">
        <v>4</v>
      </c>
      <c r="B76" s="3774"/>
      <c r="C76" s="3086" t="s">
        <v>2655</v>
      </c>
      <c r="D76" s="3086" t="s">
        <v>2656</v>
      </c>
      <c r="E76" s="3112">
        <v>0.15</v>
      </c>
      <c r="F76" s="3112">
        <v>20</v>
      </c>
    </row>
    <row r="77" spans="1:7" ht="24">
      <c r="A77" s="3112">
        <v>5</v>
      </c>
      <c r="B77" s="3774"/>
      <c r="C77" s="3086" t="s">
        <v>2657</v>
      </c>
      <c r="D77" s="3086" t="s">
        <v>2658</v>
      </c>
      <c r="E77" s="3112">
        <v>0.15</v>
      </c>
      <c r="F77" s="3112">
        <v>20</v>
      </c>
    </row>
    <row r="78" spans="1:7" ht="24">
      <c r="A78" s="3112">
        <v>6</v>
      </c>
      <c r="B78" s="3774"/>
      <c r="C78" s="3086" t="s">
        <v>2659</v>
      </c>
      <c r="D78" s="3086" t="s">
        <v>2660</v>
      </c>
      <c r="E78" s="3112">
        <v>0.15</v>
      </c>
      <c r="F78" s="3112">
        <v>20</v>
      </c>
    </row>
    <row r="79" spans="1:7" ht="24">
      <c r="A79" s="3112">
        <v>7</v>
      </c>
      <c r="B79" s="3774"/>
      <c r="C79" s="3086" t="s">
        <v>2661</v>
      </c>
      <c r="D79" s="3086" t="s">
        <v>2662</v>
      </c>
      <c r="E79" s="3112">
        <v>0.15</v>
      </c>
      <c r="F79" s="3112">
        <v>20</v>
      </c>
    </row>
    <row r="80" spans="1:7" ht="24">
      <c r="A80" s="3112">
        <v>8</v>
      </c>
      <c r="B80" s="3774"/>
      <c r="C80" s="3086" t="s">
        <v>2663</v>
      </c>
      <c r="D80" s="3086" t="s">
        <v>2664</v>
      </c>
      <c r="E80" s="3112">
        <v>0.1</v>
      </c>
      <c r="F80" s="3112">
        <v>15</v>
      </c>
    </row>
    <row r="81" spans="1:6" ht="24">
      <c r="A81" s="3112">
        <v>9</v>
      </c>
      <c r="B81" s="3774"/>
      <c r="C81" s="3086" t="s">
        <v>2665</v>
      </c>
      <c r="D81" s="3086" t="s">
        <v>2666</v>
      </c>
      <c r="E81" s="3112">
        <v>0.1</v>
      </c>
      <c r="F81" s="3112">
        <v>15</v>
      </c>
    </row>
    <row r="82" spans="1:6" ht="24">
      <c r="A82" s="3112">
        <v>10</v>
      </c>
      <c r="B82" s="3774"/>
      <c r="C82" s="3086" t="s">
        <v>2667</v>
      </c>
      <c r="D82" s="3086" t="s">
        <v>2668</v>
      </c>
      <c r="E82" s="3112">
        <v>0.1</v>
      </c>
      <c r="F82" s="3112">
        <v>15</v>
      </c>
    </row>
    <row r="83" spans="1:6" ht="24">
      <c r="A83" s="3112">
        <v>11</v>
      </c>
      <c r="B83" s="3774"/>
      <c r="C83" s="3086" t="s">
        <v>2669</v>
      </c>
      <c r="D83" s="3086" t="s">
        <v>2670</v>
      </c>
      <c r="E83" s="3112">
        <v>0.1</v>
      </c>
      <c r="F83" s="3112">
        <v>15</v>
      </c>
    </row>
    <row r="84" spans="1:6" ht="24">
      <c r="A84" s="3112">
        <v>12</v>
      </c>
      <c r="B84" s="3774"/>
      <c r="C84" s="3086" t="s">
        <v>2671</v>
      </c>
      <c r="D84" s="3086" t="s">
        <v>2672</v>
      </c>
      <c r="E84" s="3112">
        <v>0.1</v>
      </c>
      <c r="F84" s="3112">
        <v>15</v>
      </c>
    </row>
    <row r="85" spans="1:6" ht="13.5">
      <c r="A85" s="3112">
        <v>13</v>
      </c>
      <c r="B85" s="3774"/>
      <c r="C85" s="3086" t="s">
        <v>2673</v>
      </c>
      <c r="D85" s="3086" t="s">
        <v>2674</v>
      </c>
      <c r="E85" s="3112">
        <v>0.1</v>
      </c>
      <c r="F85" s="3112">
        <v>15</v>
      </c>
    </row>
    <row r="86" spans="1:6" ht="13.5">
      <c r="A86" s="3112">
        <v>14</v>
      </c>
      <c r="B86" s="3774"/>
      <c r="C86" s="3086" t="s">
        <v>2675</v>
      </c>
      <c r="D86" s="3086" t="s">
        <v>2676</v>
      </c>
      <c r="E86" s="3112">
        <v>0.1</v>
      </c>
      <c r="F86" s="3112">
        <v>15</v>
      </c>
    </row>
    <row r="87" spans="1:6" ht="13.5">
      <c r="A87" s="3112">
        <v>15</v>
      </c>
      <c r="B87" s="3774"/>
      <c r="C87" s="3086" t="s">
        <v>2677</v>
      </c>
      <c r="D87" s="3086" t="s">
        <v>2678</v>
      </c>
      <c r="E87" s="3112">
        <v>0.1</v>
      </c>
      <c r="F87" s="3112">
        <v>15</v>
      </c>
    </row>
    <row r="88" spans="1:6" ht="24">
      <c r="A88" s="3112">
        <v>16</v>
      </c>
      <c r="B88" s="3774"/>
      <c r="C88" s="3086" t="s">
        <v>2679</v>
      </c>
      <c r="D88" s="3086" t="s">
        <v>2680</v>
      </c>
      <c r="E88" s="3112">
        <v>0.1</v>
      </c>
      <c r="F88" s="3112">
        <v>15</v>
      </c>
    </row>
    <row r="89" spans="1:6" ht="24">
      <c r="A89" s="3112">
        <v>17</v>
      </c>
      <c r="B89" s="3773"/>
      <c r="C89" s="3086" t="s">
        <v>2681</v>
      </c>
      <c r="D89" s="3086" t="s">
        <v>2682</v>
      </c>
      <c r="E89" s="3112">
        <v>0.1</v>
      </c>
      <c r="F89" s="3112">
        <v>15</v>
      </c>
    </row>
    <row r="90" spans="1:6" ht="13.5">
      <c r="A90" s="3112">
        <v>18</v>
      </c>
      <c r="B90" s="3772" t="s">
        <v>2683</v>
      </c>
      <c r="C90" s="3086" t="s">
        <v>2684</v>
      </c>
      <c r="D90" s="3086" t="s">
        <v>2685</v>
      </c>
      <c r="E90" s="3112">
        <v>0.2</v>
      </c>
      <c r="F90" s="3112">
        <v>25</v>
      </c>
    </row>
    <row r="91" spans="1:6" ht="24">
      <c r="A91" s="3112">
        <v>19</v>
      </c>
      <c r="B91" s="3774"/>
      <c r="C91" s="3086" t="s">
        <v>2686</v>
      </c>
      <c r="D91" s="3086" t="s">
        <v>2687</v>
      </c>
      <c r="E91" s="3112">
        <v>0.2</v>
      </c>
      <c r="F91" s="3112">
        <v>25</v>
      </c>
    </row>
    <row r="92" spans="1:6" ht="13.5">
      <c r="A92" s="3112">
        <v>20</v>
      </c>
      <c r="B92" s="3774"/>
      <c r="C92" s="3086" t="s">
        <v>2688</v>
      </c>
      <c r="D92" s="3086" t="s">
        <v>2689</v>
      </c>
      <c r="E92" s="3112">
        <v>0.15</v>
      </c>
      <c r="F92" s="3112">
        <v>20</v>
      </c>
    </row>
    <row r="93" spans="1:6" ht="13.5">
      <c r="A93" s="3112">
        <v>21</v>
      </c>
      <c r="B93" s="3774"/>
      <c r="C93" s="3086" t="s">
        <v>2690</v>
      </c>
      <c r="D93" s="3086" t="s">
        <v>2691</v>
      </c>
      <c r="E93" s="3112">
        <v>0.15</v>
      </c>
      <c r="F93" s="3112">
        <v>20</v>
      </c>
    </row>
    <row r="94" spans="1:6" ht="13.5">
      <c r="A94" s="3112">
        <v>22</v>
      </c>
      <c r="B94" s="3774"/>
      <c r="C94" s="3086" t="s">
        <v>2692</v>
      </c>
      <c r="D94" s="3086" t="s">
        <v>2693</v>
      </c>
      <c r="E94" s="3112">
        <v>0.15</v>
      </c>
      <c r="F94" s="3112">
        <v>20</v>
      </c>
    </row>
    <row r="95" spans="1:6" ht="36">
      <c r="A95" s="3112">
        <v>23</v>
      </c>
      <c r="B95" s="3774"/>
      <c r="C95" s="3086" t="s">
        <v>2694</v>
      </c>
      <c r="D95" s="3086" t="s">
        <v>2695</v>
      </c>
      <c r="E95" s="3112">
        <v>0.15</v>
      </c>
      <c r="F95" s="3112">
        <v>20</v>
      </c>
    </row>
    <row r="96" spans="1:6" ht="13.5">
      <c r="A96" s="3112">
        <v>24</v>
      </c>
      <c r="B96" s="3774"/>
      <c r="C96" s="3086" t="s">
        <v>2696</v>
      </c>
      <c r="D96" s="3086" t="s">
        <v>2697</v>
      </c>
      <c r="E96" s="3112">
        <v>0.1</v>
      </c>
      <c r="F96" s="3112">
        <v>15</v>
      </c>
    </row>
    <row r="97" spans="1:6" ht="13.5">
      <c r="A97" s="3112">
        <v>25</v>
      </c>
      <c r="B97" s="3774"/>
      <c r="C97" s="3086" t="s">
        <v>2698</v>
      </c>
      <c r="D97" s="3086" t="s">
        <v>2699</v>
      </c>
      <c r="E97" s="3112">
        <v>0.1</v>
      </c>
      <c r="F97" s="3112">
        <v>15</v>
      </c>
    </row>
    <row r="98" spans="1:6" ht="24">
      <c r="A98" s="3112">
        <v>26</v>
      </c>
      <c r="B98" s="3774"/>
      <c r="C98" s="3086" t="s">
        <v>2700</v>
      </c>
      <c r="D98" s="3086" t="s">
        <v>2701</v>
      </c>
      <c r="E98" s="3112">
        <v>0.1</v>
      </c>
      <c r="F98" s="3112">
        <v>15</v>
      </c>
    </row>
    <row r="99" spans="1:6" ht="24">
      <c r="A99" s="3112">
        <v>27</v>
      </c>
      <c r="B99" s="3774"/>
      <c r="C99" s="3086" t="s">
        <v>2702</v>
      </c>
      <c r="D99" s="3086" t="s">
        <v>2703</v>
      </c>
      <c r="E99" s="3112">
        <v>0.1</v>
      </c>
      <c r="F99" s="3112">
        <v>15</v>
      </c>
    </row>
    <row r="100" spans="1:6" ht="13.5">
      <c r="A100" s="3112">
        <v>28</v>
      </c>
      <c r="B100" s="3774"/>
      <c r="C100" s="3086" t="s">
        <v>2704</v>
      </c>
      <c r="D100" s="3086" t="s">
        <v>2705</v>
      </c>
      <c r="E100" s="3112">
        <v>0.1</v>
      </c>
      <c r="F100" s="3112">
        <v>15</v>
      </c>
    </row>
    <row r="101" spans="1:6" ht="13.5">
      <c r="A101" s="3112">
        <v>29</v>
      </c>
      <c r="B101" s="3774"/>
      <c r="C101" s="3086" t="s">
        <v>2706</v>
      </c>
      <c r="D101" s="3086" t="s">
        <v>2707</v>
      </c>
      <c r="E101" s="3112">
        <v>0.1</v>
      </c>
      <c r="F101" s="3112">
        <v>15</v>
      </c>
    </row>
    <row r="102" spans="1:6" ht="13.5">
      <c r="A102" s="3112">
        <v>30</v>
      </c>
      <c r="B102" s="3774"/>
      <c r="C102" s="3086" t="s">
        <v>2708</v>
      </c>
      <c r="D102" s="3086" t="s">
        <v>2709</v>
      </c>
      <c r="E102" s="3112">
        <v>0.1</v>
      </c>
      <c r="F102" s="3112">
        <v>15</v>
      </c>
    </row>
    <row r="103" spans="1:6" ht="24">
      <c r="A103" s="3112">
        <v>31</v>
      </c>
      <c r="B103" s="3774"/>
      <c r="C103" s="3086" t="s">
        <v>2710</v>
      </c>
      <c r="D103" s="3086" t="s">
        <v>2711</v>
      </c>
      <c r="E103" s="3112">
        <v>0.1</v>
      </c>
      <c r="F103" s="3112">
        <v>15</v>
      </c>
    </row>
    <row r="104" spans="1:6" ht="24">
      <c r="A104" s="3112">
        <v>32</v>
      </c>
      <c r="B104" s="3774"/>
      <c r="C104" s="3086" t="s">
        <v>2712</v>
      </c>
      <c r="D104" s="3086" t="s">
        <v>2713</v>
      </c>
      <c r="E104" s="3112">
        <v>0.1</v>
      </c>
      <c r="F104" s="3112">
        <v>15</v>
      </c>
    </row>
    <row r="105" spans="1:6" ht="24">
      <c r="A105" s="3112">
        <v>33</v>
      </c>
      <c r="B105" s="3774"/>
      <c r="C105" s="3086" t="s">
        <v>2714</v>
      </c>
      <c r="D105" s="3086" t="s">
        <v>2715</v>
      </c>
      <c r="E105" s="3112">
        <v>0.1</v>
      </c>
      <c r="F105" s="3112">
        <v>15</v>
      </c>
    </row>
    <row r="106" spans="1:6" ht="24">
      <c r="A106" s="3112">
        <v>34</v>
      </c>
      <c r="B106" s="3773"/>
      <c r="C106" s="3086" t="s">
        <v>2716</v>
      </c>
      <c r="D106" s="3086" t="s">
        <v>2717</v>
      </c>
      <c r="E106" s="3112">
        <v>0.1</v>
      </c>
      <c r="F106" s="3112">
        <v>15</v>
      </c>
    </row>
    <row r="107" spans="1:6" ht="24">
      <c r="A107" s="3112">
        <v>35</v>
      </c>
      <c r="B107" s="3772" t="s">
        <v>2718</v>
      </c>
      <c r="C107" s="3112" t="s">
        <v>2719</v>
      </c>
      <c r="D107" s="3086" t="s">
        <v>2720</v>
      </c>
      <c r="E107" s="3112">
        <v>0.15</v>
      </c>
      <c r="F107" s="3112">
        <v>20</v>
      </c>
    </row>
    <row r="108" spans="1:6" ht="13.5">
      <c r="A108" s="3112">
        <v>36</v>
      </c>
      <c r="B108" s="3774"/>
      <c r="C108" s="3112" t="s">
        <v>2721</v>
      </c>
      <c r="D108" s="3086" t="s">
        <v>2722</v>
      </c>
      <c r="E108" s="3112">
        <v>0.15</v>
      </c>
      <c r="F108" s="3112">
        <v>20</v>
      </c>
    </row>
    <row r="109" spans="1:6" ht="13.5">
      <c r="A109" s="3112">
        <v>37</v>
      </c>
      <c r="B109" s="3774"/>
      <c r="C109" s="3112" t="s">
        <v>2723</v>
      </c>
      <c r="D109" s="3086" t="s">
        <v>2724</v>
      </c>
      <c r="E109" s="3112">
        <v>0.15</v>
      </c>
      <c r="F109" s="3112">
        <v>20</v>
      </c>
    </row>
    <row r="110" spans="1:6" ht="13.5">
      <c r="A110" s="3112">
        <v>38</v>
      </c>
      <c r="B110" s="3774"/>
      <c r="C110" s="3112" t="s">
        <v>2725</v>
      </c>
      <c r="D110" s="3086" t="s">
        <v>2726</v>
      </c>
      <c r="E110" s="3112">
        <v>0.1</v>
      </c>
      <c r="F110" s="3112">
        <v>15</v>
      </c>
    </row>
    <row r="111" spans="1:6" ht="24">
      <c r="A111" s="3112">
        <v>39</v>
      </c>
      <c r="B111" s="3774"/>
      <c r="C111" s="3112" t="s">
        <v>2727</v>
      </c>
      <c r="D111" s="3086" t="s">
        <v>2728</v>
      </c>
      <c r="E111" s="3112">
        <v>0.1</v>
      </c>
      <c r="F111" s="3112">
        <v>15</v>
      </c>
    </row>
    <row r="112" spans="1:6" ht="24">
      <c r="A112" s="3112">
        <v>40</v>
      </c>
      <c r="B112" s="3773"/>
      <c r="C112" s="3112" t="s">
        <v>2729</v>
      </c>
      <c r="D112" s="3086" t="s">
        <v>2730</v>
      </c>
      <c r="E112" s="3112">
        <v>0.1</v>
      </c>
      <c r="F112" s="3112">
        <v>15</v>
      </c>
    </row>
    <row r="113" spans="1:6" ht="13.5">
      <c r="A113" s="3112">
        <v>41</v>
      </c>
      <c r="B113" s="3771" t="s">
        <v>2731</v>
      </c>
      <c r="C113" s="3112" t="s">
        <v>2732</v>
      </c>
      <c r="D113" s="3086" t="s">
        <v>2733</v>
      </c>
      <c r="E113" s="3112">
        <v>0.1</v>
      </c>
      <c r="F113" s="3112">
        <v>15</v>
      </c>
    </row>
    <row r="114" spans="1:6" ht="13.5">
      <c r="A114" s="3112">
        <v>42</v>
      </c>
      <c r="B114" s="3771"/>
      <c r="C114" s="3112" t="s">
        <v>2734</v>
      </c>
      <c r="D114" s="3086" t="s">
        <v>2735</v>
      </c>
      <c r="E114" s="3112">
        <v>0.1</v>
      </c>
      <c r="F114" s="3112">
        <v>15</v>
      </c>
    </row>
    <row r="115" spans="1:6" ht="24">
      <c r="A115" s="3112">
        <v>43</v>
      </c>
      <c r="B115" s="3771"/>
      <c r="C115" s="3112" t="s">
        <v>2736</v>
      </c>
      <c r="D115" s="3086" t="s">
        <v>2737</v>
      </c>
      <c r="E115" s="3112">
        <v>0.1</v>
      </c>
      <c r="F115" s="3112">
        <v>15</v>
      </c>
    </row>
    <row r="116" spans="1:6" ht="13.5">
      <c r="A116" s="3112">
        <v>44</v>
      </c>
      <c r="B116" s="3772" t="s">
        <v>2738</v>
      </c>
      <c r="C116" s="3112" t="s">
        <v>2739</v>
      </c>
      <c r="D116" s="3086" t="s">
        <v>2740</v>
      </c>
      <c r="E116" s="3112">
        <v>0.1</v>
      </c>
      <c r="F116" s="3112">
        <v>15</v>
      </c>
    </row>
    <row r="117" spans="1:6" ht="24">
      <c r="A117" s="3112">
        <v>45</v>
      </c>
      <c r="B117" s="3773"/>
      <c r="C117" s="3086" t="s">
        <v>2741</v>
      </c>
      <c r="D117" s="3086" t="s">
        <v>2742</v>
      </c>
      <c r="E117" s="3112">
        <v>0.1</v>
      </c>
      <c r="F117" s="3112">
        <v>15</v>
      </c>
    </row>
    <row r="118" spans="1:6" ht="24">
      <c r="A118" s="3112">
        <v>46</v>
      </c>
      <c r="B118" s="3772" t="s">
        <v>2743</v>
      </c>
      <c r="C118" s="3112" t="s">
        <v>2744</v>
      </c>
      <c r="D118" s="3086" t="s">
        <v>2745</v>
      </c>
      <c r="E118" s="3112">
        <v>0.1</v>
      </c>
      <c r="F118" s="3112">
        <v>15</v>
      </c>
    </row>
    <row r="119" spans="1:6" ht="24">
      <c r="A119" s="3112">
        <v>47</v>
      </c>
      <c r="B119" s="3773"/>
      <c r="C119" s="3112" t="s">
        <v>2746</v>
      </c>
      <c r="D119" s="3086" t="s">
        <v>2747</v>
      </c>
      <c r="E119" s="3112">
        <v>0.1</v>
      </c>
      <c r="F119" s="3112">
        <v>15</v>
      </c>
    </row>
    <row r="120" spans="1:6" ht="13.5">
      <c r="A120" s="3112">
        <v>48</v>
      </c>
      <c r="B120" s="3772" t="s">
        <v>2748</v>
      </c>
      <c r="C120" s="3112" t="s">
        <v>2749</v>
      </c>
      <c r="D120" s="3086" t="s">
        <v>2750</v>
      </c>
      <c r="E120" s="3112">
        <v>0.1</v>
      </c>
      <c r="F120" s="3112">
        <v>15</v>
      </c>
    </row>
    <row r="121" spans="1:6" ht="13.5">
      <c r="A121" s="3112">
        <v>49</v>
      </c>
      <c r="B121" s="3773"/>
      <c r="C121" s="3112" t="s">
        <v>2751</v>
      </c>
      <c r="D121" s="3086" t="s">
        <v>2752</v>
      </c>
      <c r="E121" s="3112">
        <v>0.1</v>
      </c>
      <c r="F121" s="3112">
        <v>15</v>
      </c>
    </row>
    <row r="122" spans="1:6" ht="24">
      <c r="A122" s="3112">
        <v>50</v>
      </c>
      <c r="B122" s="3771" t="s">
        <v>2753</v>
      </c>
      <c r="C122" s="3112" t="s">
        <v>2754</v>
      </c>
      <c r="D122" s="3086" t="s">
        <v>2755</v>
      </c>
      <c r="E122" s="3112">
        <v>0.1</v>
      </c>
      <c r="F122" s="3112">
        <v>15</v>
      </c>
    </row>
    <row r="123" spans="1:6" ht="24">
      <c r="A123" s="3112">
        <v>51</v>
      </c>
      <c r="B123" s="3771"/>
      <c r="C123" s="3112" t="s">
        <v>2756</v>
      </c>
      <c r="D123" s="3086" t="s">
        <v>2757</v>
      </c>
      <c r="E123" s="3112">
        <v>0.1</v>
      </c>
      <c r="F123" s="3112">
        <v>15</v>
      </c>
    </row>
    <row r="124" spans="1:6" ht="24">
      <c r="A124" s="3112">
        <v>52</v>
      </c>
      <c r="B124" s="3771" t="s">
        <v>2758</v>
      </c>
      <c r="C124" s="3112" t="s">
        <v>2759</v>
      </c>
      <c r="D124" s="3086" t="s">
        <v>2760</v>
      </c>
      <c r="E124" s="3112">
        <v>0.1</v>
      </c>
      <c r="F124" s="3112">
        <v>15</v>
      </c>
    </row>
    <row r="125" spans="1:6" ht="24">
      <c r="A125" s="3112">
        <v>53</v>
      </c>
      <c r="B125" s="3771"/>
      <c r="C125" s="3112" t="s">
        <v>2761</v>
      </c>
      <c r="D125" s="3086" t="s">
        <v>2762</v>
      </c>
      <c r="E125" s="3112">
        <v>0.1</v>
      </c>
      <c r="F125" s="3112">
        <v>15</v>
      </c>
    </row>
    <row r="126" spans="1:6" ht="13.5">
      <c r="A126" s="3112">
        <v>54</v>
      </c>
      <c r="B126" s="3112" t="s">
        <v>2763</v>
      </c>
      <c r="C126" s="3112" t="s">
        <v>2764</v>
      </c>
      <c r="D126" s="3086" t="s">
        <v>2765</v>
      </c>
      <c r="E126" s="3112">
        <v>0.1</v>
      </c>
      <c r="F126" s="3112">
        <v>15</v>
      </c>
    </row>
    <row r="127" spans="1:6" ht="13.5">
      <c r="A127" s="3112">
        <v>55</v>
      </c>
      <c r="B127" s="3771" t="s">
        <v>2766</v>
      </c>
      <c r="C127" s="3112" t="s">
        <v>2767</v>
      </c>
      <c r="D127" s="3086" t="s">
        <v>2768</v>
      </c>
      <c r="E127" s="3112">
        <v>0.1</v>
      </c>
      <c r="F127" s="3112">
        <v>15</v>
      </c>
    </row>
    <row r="128" spans="1:6" ht="13.5">
      <c r="A128" s="3112">
        <v>56</v>
      </c>
      <c r="B128" s="3771"/>
      <c r="C128" s="3112" t="s">
        <v>2769</v>
      </c>
      <c r="D128" s="3086" t="s">
        <v>2770</v>
      </c>
      <c r="E128" s="3112">
        <v>0.1</v>
      </c>
      <c r="F128" s="3112">
        <v>15</v>
      </c>
    </row>
    <row r="129" spans="1:6" ht="24">
      <c r="A129" s="3112">
        <v>57</v>
      </c>
      <c r="B129" s="3771"/>
      <c r="C129" s="3112" t="s">
        <v>2771</v>
      </c>
      <c r="D129" s="3086" t="s">
        <v>2772</v>
      </c>
      <c r="E129" s="3112">
        <v>0.1</v>
      </c>
      <c r="F129" s="3112">
        <v>15</v>
      </c>
    </row>
    <row r="130" spans="1:6" ht="24">
      <c r="A130" s="3112">
        <v>58</v>
      </c>
      <c r="B130" s="3771" t="s">
        <v>2773</v>
      </c>
      <c r="C130" s="3112" t="s">
        <v>2774</v>
      </c>
      <c r="D130" s="3086" t="s">
        <v>2775</v>
      </c>
      <c r="E130" s="3112">
        <v>0.1</v>
      </c>
      <c r="F130" s="3112">
        <v>15</v>
      </c>
    </row>
    <row r="131" spans="1:6" ht="13.5">
      <c r="A131" s="3112">
        <v>59</v>
      </c>
      <c r="B131" s="3771"/>
      <c r="C131" s="3112" t="s">
        <v>2776</v>
      </c>
      <c r="D131" s="3086" t="s">
        <v>2777</v>
      </c>
      <c r="E131" s="3112">
        <v>0.1</v>
      </c>
      <c r="F131" s="3112">
        <v>15</v>
      </c>
    </row>
    <row r="132" spans="1:6" ht="13.5">
      <c r="A132" s="3112">
        <v>60</v>
      </c>
      <c r="B132" s="3772" t="s">
        <v>2778</v>
      </c>
      <c r="C132" s="3112" t="s">
        <v>2779</v>
      </c>
      <c r="D132" s="3086" t="s">
        <v>2780</v>
      </c>
      <c r="E132" s="3112">
        <v>0.1</v>
      </c>
      <c r="F132" s="3112">
        <v>15</v>
      </c>
    </row>
    <row r="133" spans="1:6" ht="13.5">
      <c r="A133" s="3112">
        <v>61</v>
      </c>
      <c r="B133" s="3773"/>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13.5">
      <c r="A135" s="3112">
        <v>63</v>
      </c>
      <c r="B135" s="3771" t="s">
        <v>2786</v>
      </c>
      <c r="C135" s="3112" t="s">
        <v>2787</v>
      </c>
      <c r="D135" s="3086" t="s">
        <v>2788</v>
      </c>
      <c r="E135" s="3112">
        <v>0.1</v>
      </c>
      <c r="F135" s="3112">
        <v>15</v>
      </c>
    </row>
    <row r="136" spans="1:6" ht="13.5">
      <c r="A136" s="3112">
        <v>64</v>
      </c>
      <c r="B136" s="3771"/>
      <c r="C136" s="3112" t="s">
        <v>2789</v>
      </c>
      <c r="D136" s="3086" t="s">
        <v>2790</v>
      </c>
      <c r="E136" s="3112">
        <v>0.1</v>
      </c>
      <c r="F136" s="3112">
        <v>15</v>
      </c>
    </row>
    <row r="137" spans="1:6" ht="13.5">
      <c r="A137" s="3112">
        <v>65</v>
      </c>
      <c r="B137" s="3112" t="s">
        <v>2791</v>
      </c>
      <c r="C137" s="3112" t="s">
        <v>2792</v>
      </c>
      <c r="D137" s="3086" t="s">
        <v>2793</v>
      </c>
      <c r="E137" s="3112">
        <v>0.1</v>
      </c>
      <c r="F137" s="3112">
        <v>15</v>
      </c>
    </row>
    <row r="138" spans="1:6" ht="13.5">
      <c r="A138" s="3112"/>
      <c r="B138" s="3112"/>
      <c r="C138" s="3112"/>
      <c r="D138" s="3112"/>
      <c r="E138" s="3112" t="s">
        <v>2794</v>
      </c>
      <c r="F138" s="311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2795</v>
      </c>
      <c r="B1" s="3121"/>
      <c r="C1" s="3121"/>
      <c r="D1" s="3121"/>
      <c r="E1" s="3121"/>
      <c r="F1" s="3121"/>
      <c r="G1" s="3121"/>
      <c r="H1" s="3121"/>
      <c r="I1" s="3121"/>
      <c r="J1" s="3121"/>
      <c r="K1" s="3121"/>
      <c r="L1" s="3121"/>
      <c r="M1" s="3121"/>
      <c r="N1" s="749"/>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50" t="e">
        <f>SUMPRODUCT((A95:A184=ROUNDDOWN(基准地价修正!G3,1))*(B94:M94=基准地价修正!G2)*(B95:M184))</f>
        <v>#DIV/0!</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50" t="e">
        <f>SUMPRODUCT((A371:A460=ROUNDDOWN(基准地价修正!G3,1))*(B370:M370=基准地价修正!G2)*(B371:M460))</f>
        <v>#DIV/0!</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27868</v>
      </c>
      <c r="C2" s="2" t="s">
        <v>106</v>
      </c>
      <c r="D2" s="199"/>
      <c r="E2" s="199"/>
      <c r="F2" s="199"/>
      <c r="G2" s="199"/>
    </row>
    <row r="3" spans="1:7" s="200" customFormat="1" ht="18" customHeight="1" thickBot="1">
      <c r="A3" s="203" t="s">
        <v>58</v>
      </c>
      <c r="B3" s="204">
        <f ca="1">ROUND(B2*10000/'数据-汇总表'!E3,0)</f>
        <v>456015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611.12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611.12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1310</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244</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611.12</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63" t="s">
        <v>94</v>
      </c>
    </row>
    <row r="43" spans="1:7" ht="13.5" customHeight="1">
      <c r="A43" s="780" t="s">
        <v>347</v>
      </c>
      <c r="B43" s="215" t="s">
        <v>426</v>
      </c>
      <c r="C43" s="238">
        <f ca="1">ROUND(IF('数据-取费表'!B22&lt;=1,C39*F22*'数据-取费表'!B21/2,C39*(POWER((1+F22),'数据-取费表'!B21/2)-1)),0)</f>
        <v>0</v>
      </c>
      <c r="D43" s="238"/>
      <c r="E43" s="238"/>
      <c r="F43" s="239"/>
      <c r="G43" s="3664"/>
    </row>
    <row r="44" spans="1:7" ht="13.5" customHeight="1">
      <c r="A44" s="780" t="s">
        <v>348</v>
      </c>
      <c r="B44" s="215" t="s">
        <v>428</v>
      </c>
      <c r="C44" s="238">
        <f ca="1">ROUND(IF('数据-取费表'!B22&lt;=1,C40*F22*'数据-取费表'!B21/2,C40*(POWER((1+F22),'数据-取费表'!B21/2)-1)),4)</f>
        <v>5.9999999999999995E-4</v>
      </c>
      <c r="D44" s="238"/>
      <c r="E44" s="238"/>
      <c r="F44" s="239"/>
      <c r="G44" s="3665"/>
    </row>
    <row r="45" spans="1:7" s="214" customFormat="1" ht="13.5" customHeight="1">
      <c r="A45" s="777" t="s">
        <v>341</v>
      </c>
      <c r="B45" s="244" t="s">
        <v>85</v>
      </c>
      <c r="C45" s="245">
        <f>C46</f>
        <v>41</v>
      </c>
      <c r="D45" s="235">
        <f>C47</f>
        <v>3.0000000000000001E-3</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244</v>
      </c>
      <c r="D51" s="232"/>
      <c r="E51" s="232"/>
      <c r="F51" s="264"/>
      <c r="G51" s="234" t="s">
        <v>37</v>
      </c>
    </row>
    <row r="52" spans="1:7" s="208" customFormat="1" ht="16.5" thickBot="1">
      <c r="A52" s="265" t="s">
        <v>38</v>
      </c>
      <c r="B52" s="266"/>
      <c r="C52" s="267">
        <f ca="1">C31+C51</f>
        <v>27868</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5" t="s">
        <v>2840</v>
      </c>
      <c r="B1" s="3785"/>
      <c r="C1" s="3785"/>
      <c r="D1" s="3785"/>
      <c r="E1" s="3785"/>
      <c r="F1" s="3785"/>
      <c r="G1" s="3786"/>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783" t="s">
        <v>2867</v>
      </c>
      <c r="B3" s="3224"/>
      <c r="C3" s="3225" t="s">
        <v>2808</v>
      </c>
      <c r="D3" s="3225" t="s">
        <v>2868</v>
      </c>
      <c r="E3" s="3225" t="s">
        <v>2810</v>
      </c>
      <c r="F3" s="3225" t="s">
        <v>2869</v>
      </c>
      <c r="G3" s="3225" t="s">
        <v>2628</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784"/>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1874</v>
      </c>
      <c r="E5" s="1491"/>
    </row>
    <row r="6" spans="1:5" ht="15.75">
      <c r="A6" s="1491"/>
      <c r="B6" s="3482"/>
      <c r="C6" s="1494" t="s">
        <v>911</v>
      </c>
      <c r="D6" s="850" t="str">
        <f ca="1">NUMBERSTRING(INT(D5*10000),2)&amp;"元整"</f>
        <v>壹仟捌佰柒拾肆万元整</v>
      </c>
      <c r="E6" s="1491"/>
    </row>
    <row r="7" spans="1:5" ht="15.75">
      <c r="A7" s="1491"/>
      <c r="B7" s="3487"/>
      <c r="C7" s="1495" t="s">
        <v>912</v>
      </c>
      <c r="D7" s="851">
        <f ca="1">结果表!H102</f>
        <v>30665</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1874</v>
      </c>
      <c r="E13" s="1491"/>
    </row>
    <row r="14" spans="1:5" ht="15.75">
      <c r="A14" s="1491"/>
      <c r="B14" s="3482"/>
      <c r="C14" s="1494" t="s">
        <v>911</v>
      </c>
      <c r="D14" s="850" t="str">
        <f ca="1">NUMBERSTRING(INT(D13*10000),2)&amp;"元整"</f>
        <v>壹仟捌佰柒拾肆万元整</v>
      </c>
      <c r="E14" s="1491"/>
    </row>
    <row r="15" spans="1:5" ht="15">
      <c r="A15" s="1491"/>
      <c r="B15" s="3487"/>
      <c r="C15" s="1495" t="s">
        <v>921</v>
      </c>
      <c r="D15" s="859">
        <f ca="1">结果表!H108</f>
        <v>30665</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7" t="s">
        <v>3182</v>
      </c>
      <c r="B1" s="3787"/>
    </row>
    <row r="2" spans="1:7" ht="14.25" thickBot="1">
      <c r="A2" s="3249"/>
      <c r="B2" s="3249"/>
    </row>
    <row r="3" spans="1:7" ht="14.25" thickBot="1">
      <c r="A3" s="3249"/>
      <c r="B3" s="3249"/>
      <c r="C3" s="3250" t="s">
        <v>2808</v>
      </c>
      <c r="D3" s="3250" t="s">
        <v>2868</v>
      </c>
      <c r="E3" s="3250" t="s">
        <v>2810</v>
      </c>
      <c r="F3" s="3250" t="s">
        <v>2869</v>
      </c>
      <c r="G3" s="3250" t="s">
        <v>2628</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8" t="s">
        <v>3233</v>
      </c>
      <c r="B1" s="3788"/>
      <c r="C1" s="3788"/>
      <c r="D1" s="3788"/>
      <c r="E1" s="3788"/>
      <c r="F1" s="3789"/>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44998</v>
      </c>
      <c r="B1" s="3204" t="s">
        <v>2839</v>
      </c>
      <c r="C1" s="3205"/>
      <c r="D1" s="3205"/>
      <c r="E1" s="3205"/>
      <c r="F1" s="3205"/>
      <c r="G1" s="3205"/>
      <c r="H1" s="3205"/>
      <c r="I1" s="3205"/>
      <c r="J1" s="3159"/>
      <c r="K1" s="3205" t="s">
        <v>454</v>
      </c>
      <c r="L1" s="3205"/>
      <c r="M1" s="3205"/>
      <c r="N1" s="3205"/>
      <c r="O1" s="3205"/>
      <c r="P1" s="3205"/>
      <c r="Q1" s="3159"/>
      <c r="R1" s="3790" t="s">
        <v>456</v>
      </c>
      <c r="S1" s="3791"/>
      <c r="T1" s="3791"/>
      <c r="U1" s="3791"/>
      <c r="V1" s="3791"/>
      <c r="W1" s="3791"/>
      <c r="X1" s="3159"/>
      <c r="Y1" s="3790" t="s">
        <v>457</v>
      </c>
      <c r="Z1" s="3791"/>
      <c r="AA1" s="3791"/>
      <c r="AB1" s="3791"/>
      <c r="AC1" s="3791"/>
      <c r="AD1" s="3791"/>
    </row>
    <row r="2" spans="1:30" s="3137" customFormat="1" ht="14.2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2.75">
      <c r="A3" s="3143" t="s">
        <v>2816</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3369</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3370</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3368</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2817</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2818</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ROUND(IF([4]项目基本情况!B8="出让",SUMPRODUCT(PRODUCT(1+K9:K16)),SUMPRODUCT(PRODUCT(1+K9:K15))),4)</f>
        <v>1.0565</v>
      </c>
      <c r="S9" s="3186">
        <f>ROUND(IF([4]项目基本情况!B8="出让",SUMPRODUCT(PRODUCT(1+L9:L16)),SUMPRODUCT(PRODUCT(1+L9:L15))),4)</f>
        <v>1.0250999999999999</v>
      </c>
      <c r="T9" s="3186">
        <f>ROUND(IF([4]项目基本情况!B8="出让",SUMPRODUCT(PRODUCT(1+M9:M16)),SUMPRODUCT(PRODUCT(1+M9:M15))),4)</f>
        <v>1.0145</v>
      </c>
      <c r="U9" s="3186">
        <f>ROUND(IF([4]项目基本情况!B8="出让",SUMPRODUCT(PRODUCT(1+N9:N16)),SUMPRODUCT(PRODUCT(1+N9:N15))),4)</f>
        <v>1.0618000000000001</v>
      </c>
      <c r="V9" s="3186">
        <f>ROUND(IF([4]项目基本情况!B8="出让",SUMPRODUCT(PRODUCT(1+O9:O16)),SUMPRODUCT(PRODUCT(1+O9:O15))),4)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3363</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ROUND(IF([4]项目基本情况!B8="出让",SUMPRODUCT(PRODUCT(1+K10:K16)),SUMPRODUCT(PRODUCT(1+K10:K15))),4)</f>
        <v>1.05</v>
      </c>
      <c r="S10" s="3177">
        <f>ROUND(IF([4]项目基本情况!B8="出让",SUMPRODUCT(PRODUCT(1+L10:L16)),SUMPRODUCT(PRODUCT(1+L10:L15))),4)</f>
        <v>1.0229999999999999</v>
      </c>
      <c r="T10" s="3177">
        <f>ROUND(IF([4]项目基本情况!B8="出让",SUMPRODUCT(PRODUCT(1+M10:M16)),SUMPRODUCT(PRODUCT(1+M10:M15))),4)</f>
        <v>1.0134000000000001</v>
      </c>
      <c r="U10" s="3177">
        <f>ROUND(IF([4]项目基本情况!B8="出让",SUMPRODUCT(PRODUCT(1+N10:N16)),SUMPRODUCT(PRODUCT(1+N10:N15))),4)</f>
        <v>1.0545</v>
      </c>
      <c r="V10" s="3177">
        <f>ROUND(IF([4]项目基本情况!B8="出让",SUMPRODUCT(PRODUCT(1+O10:O16)),SUMPRODUCT(PRODUCT(1+O10:O15))),4)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3355</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ROUND(IF([4]项目基本情况!B8="出让",SUMPRODUCT(PRODUCT(1+K11:K16)),SUMPRODUCT(PRODUCT(1+K11:K15))),4)</f>
        <v>1.0430999999999999</v>
      </c>
      <c r="S11" s="3177">
        <f>ROUND(IF([4]项目基本情况!B8="出让",SUMPRODUCT(PRODUCT(1+L11:L16)),SUMPRODUCT(PRODUCT(1+L11:L15))),4)</f>
        <v>1.0197000000000001</v>
      </c>
      <c r="T11" s="3177">
        <f>ROUND(IF([4]项目基本情况!B8="出让",SUMPRODUCT(PRODUCT(1+M11:M16)),SUMPRODUCT(PRODUCT(1+M11:M15))),4)</f>
        <v>1.0109999999999999</v>
      </c>
      <c r="U11" s="3177">
        <f>ROUND(IF([4]项目基本情况!B8="出让",SUMPRODUCT(PRODUCT(1+N11:N16)),SUMPRODUCT(PRODUCT(1+N11:N15))),4)</f>
        <v>1.0468999999999999</v>
      </c>
      <c r="V11" s="3177">
        <f>ROUND(IF([4]项目基本情况!B8="出让",SUMPRODUCT(PRODUCT(1+O11:O16)),SUMPRODUCT(PRODUCT(1+O11:O15))),4)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ROUND(IF([4]项目基本情况!B8="出让",SUMPRODUCT(PRODUCT(1+K12:K16)),SUMPRODUCT(PRODUCT(1+K12:K15))),4)</f>
        <v>1.0335000000000001</v>
      </c>
      <c r="S12" s="3177">
        <f>ROUND(IF([4]项目基本情况!B8="出让",SUMPRODUCT(PRODUCT(1+L12:L16)),SUMPRODUCT(PRODUCT(1+L12:L15))),4)</f>
        <v>1.0182</v>
      </c>
      <c r="T12" s="3177">
        <f>ROUND(IF([4]项目基本情况!B8="出让",SUMPRODUCT(PRODUCT(1+M12:M16)),SUMPRODUCT(PRODUCT(1+M12:M15))),4)</f>
        <v>1.0108999999999999</v>
      </c>
      <c r="U12" s="3177">
        <f>ROUND(IF([4]项目基本情况!B8="出让",SUMPRODUCT(PRODUCT(1+N12:N16)),SUMPRODUCT(PRODUCT(1+N12:N15))),4)</f>
        <v>1.0361</v>
      </c>
      <c r="V12" s="3177">
        <f>ROUND(IF([4]项目基本情况!B8="出让",SUMPRODUCT(PRODUCT(1+O12:O16)),SUMPRODUCT(PRODUCT(1+O12:O15))),4)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ROUND(IF([4]项目基本情况!B8="出让",SUMPRODUCT(PRODUCT(1+K13:K16)),SUMPRODUCT(PRODUCT(1+K13:K15))),4)</f>
        <v>1.0244</v>
      </c>
      <c r="S13" s="3177">
        <f>ROUND(IF([4]项目基本情况!B8="出让",SUMPRODUCT(PRODUCT(1+L13:L16)),SUMPRODUCT(PRODUCT(1+L13:L15))),4)</f>
        <v>1.0138</v>
      </c>
      <c r="T13" s="3177">
        <f>ROUND(IF([4]项目基本情况!B8="出让",SUMPRODUCT(PRODUCT(1+M13:M16)),SUMPRODUCT(PRODUCT(1+M13:M15))),4)</f>
        <v>1.0072000000000001</v>
      </c>
      <c r="U13" s="3177">
        <f>ROUND(IF([4]项目基本情况!B8="出让",SUMPRODUCT(PRODUCT(1+N13:N16)),SUMPRODUCT(PRODUCT(1+N13:N15))),4)</f>
        <v>1.0262</v>
      </c>
      <c r="V13" s="3177">
        <f>ROUND(IF([4]项目基本情况!B8="出让",SUMPRODUCT(PRODUCT(1+O13:O16)),SUMPRODUCT(PRODUCT(1+O13:O15))),4)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ROUND(IF([4]项目基本情况!B8="出让",SUMPRODUCT(PRODUCT(1+K14:K16)),SUMPRODUCT(PRODUCT(1+K14:K15))),4)</f>
        <v>1.0139</v>
      </c>
      <c r="S14" s="3177">
        <f>ROUND(IF([4]项目基本情况!B8="出让",SUMPRODUCT(PRODUCT(1+L14:L16)),SUMPRODUCT(PRODUCT(1+L14:L15))),4)</f>
        <v>1.0113000000000001</v>
      </c>
      <c r="T14" s="3177">
        <f>ROUND(IF([4]项目基本情况!B8="出让",SUMPRODUCT(PRODUCT(1+M14:M16)),SUMPRODUCT(PRODUCT(1+M14:M15))),4)</f>
        <v>1.0065</v>
      </c>
      <c r="U14" s="3177">
        <f>ROUND(IF([4]项目基本情况!B8="出让",SUMPRODUCT(PRODUCT(1+N14:N16)),SUMPRODUCT(PRODUCT(1+N14:N15))),4)</f>
        <v>1.0143</v>
      </c>
      <c r="V14" s="3177">
        <f>ROUND(IF([4]项目基本情况!B8="出让",SUMPRODUCT(PRODUCT(1+O14:O16)),SUMPRODUCT(PRODUCT(1+O14:O15))),4)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ROUND(IF([4]项目基本情况!B8="出让",SUMPRODUCT(PRODUCT(1+K15:K16)),SUMPRODUCT(PRODUCT(1+K15:K15))),4)</f>
        <v>1.0092000000000001</v>
      </c>
      <c r="S15" s="3177">
        <f>ROUND(IF([4]项目基本情况!B8="出让",SUMPRODUCT(PRODUCT(1+L15:L16)),SUMPRODUCT(PRODUCT(1+L15:L15))),4)</f>
        <v>1.0072000000000001</v>
      </c>
      <c r="T15" s="3177">
        <f>ROUND(IF([4]项目基本情况!B8="出让",SUMPRODUCT(PRODUCT(1+M15:M16)),SUMPRODUCT(PRODUCT(1+M15:M15))),4)</f>
        <v>1.0041</v>
      </c>
      <c r="U15" s="3177">
        <f>ROUND(IF([4]项目基本情况!B8="出让",SUMPRODUCT(PRODUCT(1+N15:N16)),SUMPRODUCT(PRODUCT(1+N15:N15))),4)</f>
        <v>1.0095000000000001</v>
      </c>
      <c r="V15" s="3177">
        <f>ROUND(IF([4]项目基本情况!B8="出让",SUMPRODUCT(PRODUCT(1+O15:O16)),SUMPRODUCT(PRODUCT(1+O15:O15))),4)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3366</v>
      </c>
    </row>
    <row r="19" spans="1:30" s="3003" customFormat="1">
      <c r="I19" s="3202" t="s">
        <v>2824</v>
      </c>
    </row>
    <row r="20" spans="1:30" s="3003" customFormat="1"/>
    <row r="21" spans="1:30" s="3203" customFormat="1" ht="12.75">
      <c r="B21" s="3204" t="s">
        <v>2825</v>
      </c>
      <c r="C21" s="3205"/>
      <c r="D21" s="3205"/>
      <c r="E21" s="3205"/>
      <c r="F21" s="3205"/>
      <c r="G21" s="3205"/>
      <c r="H21" s="3205"/>
      <c r="I21" s="3205"/>
      <c r="J21" s="3159"/>
      <c r="K21" s="3205" t="s">
        <v>2826</v>
      </c>
      <c r="L21" s="3205"/>
      <c r="M21" s="3205"/>
      <c r="N21" s="3205"/>
      <c r="O21" s="3205"/>
      <c r="P21" s="3205"/>
      <c r="Q21" s="3159"/>
      <c r="R21" s="3790" t="s">
        <v>2827</v>
      </c>
      <c r="S21" s="3791"/>
      <c r="T21" s="3791"/>
      <c r="U21" s="3791"/>
      <c r="V21" s="3791"/>
      <c r="W21" s="3791"/>
      <c r="X21" s="3159"/>
      <c r="Y21" s="3790" t="s">
        <v>2828</v>
      </c>
      <c r="Z21" s="3791"/>
      <c r="AA21" s="3791"/>
      <c r="AB21" s="3791"/>
      <c r="AC21" s="3791"/>
      <c r="AD21" s="3791"/>
    </row>
    <row r="22" spans="1:30" s="3137" customFormat="1" ht="14.25" thickBot="1">
      <c r="B22" s="3138"/>
      <c r="C22" s="3139"/>
      <c r="D22" s="3140" t="s">
        <v>2829</v>
      </c>
      <c r="E22" s="3141" t="s">
        <v>2830</v>
      </c>
      <c r="F22" s="3141" t="s">
        <v>2831</v>
      </c>
      <c r="G22" s="3141" t="s">
        <v>2832</v>
      </c>
      <c r="H22" s="3141"/>
      <c r="I22" s="3141" t="s">
        <v>2833</v>
      </c>
      <c r="J22" s="3142"/>
      <c r="K22" s="3140" t="s">
        <v>2829</v>
      </c>
      <c r="L22" s="3141" t="s">
        <v>2830</v>
      </c>
      <c r="M22" s="3141" t="s">
        <v>2831</v>
      </c>
      <c r="N22" s="3141" t="s">
        <v>2832</v>
      </c>
      <c r="O22" s="3141"/>
      <c r="P22" s="3141" t="s">
        <v>2833</v>
      </c>
      <c r="Q22" s="3142"/>
      <c r="R22" s="3140" t="s">
        <v>2829</v>
      </c>
      <c r="S22" s="3141" t="s">
        <v>2830</v>
      </c>
      <c r="T22" s="3141" t="s">
        <v>2831</v>
      </c>
      <c r="U22" s="3141" t="s">
        <v>2832</v>
      </c>
      <c r="V22" s="3141"/>
      <c r="W22" s="3141" t="s">
        <v>2833</v>
      </c>
      <c r="X22" s="3142"/>
      <c r="Y22" s="3140" t="s">
        <v>2829</v>
      </c>
      <c r="Z22" s="3141" t="s">
        <v>2830</v>
      </c>
      <c r="AA22" s="3141" t="s">
        <v>2831</v>
      </c>
      <c r="AB22" s="3141" t="s">
        <v>2832</v>
      </c>
      <c r="AC22" s="3141"/>
      <c r="AD22" s="3141" t="s">
        <v>2833</v>
      </c>
    </row>
    <row r="23" spans="1:30" s="3155" customFormat="1" ht="12.75">
      <c r="A23" s="3143" t="s">
        <v>2834</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3369</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ROUND(IF([4]项目基本情况!$B$8="出让",SUMPRODUCT(PRODUCT(1+L25:L$36)),SUMPRODUCT(PRODUCT(1+L25:L$35))),4)</f>
        <v>1.0286999999999999</v>
      </c>
      <c r="T25" s="3177">
        <f>ROUND(IF([4]项目基本情况!$B$8="出让",SUMPRODUCT(PRODUCT(1+M25:M$36)),SUMPRODUCT(PRODUCT(1+M25:M$35))),4)</f>
        <v>1.0164</v>
      </c>
      <c r="U25" s="3177">
        <f>ROUND(IF([4]项目基本情况!$B$8="出让",SUMPRODUCT(PRODUCT(1+N25:N$36)),SUMPRODUCT(PRODUCT(1+N25:N$35))),4)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3370</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ROUND(IF([4]项目基本情况!$B$8="出让",SUMPRODUCT(PRODUCT(1+L26:L$36)),SUMPRODUCT(PRODUCT(1+L26:L$35))),4)</f>
        <v>1.0286999999999999</v>
      </c>
      <c r="T26" s="3177">
        <f>ROUND(IF([4]项目基本情况!$B$8="出让",SUMPRODUCT(PRODUCT(1+M26:M$36)),SUMPRODUCT(PRODUCT(1+M26:M$35))),4)</f>
        <v>1.0164</v>
      </c>
      <c r="U26" s="3177">
        <f>ROUND(IF([4]项目基本情况!$B$8="出让",SUMPRODUCT(PRODUCT(1+N26:N$36)),SUMPRODUCT(PRODUCT(1+N26:N$35))),4)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3368</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ROUND(IF([4]项目基本情况!$B$8="出让",SUMPRODUCT(PRODUCT(1+L27:L$36)),SUMPRODUCT(PRODUCT(1+L27:L$35))),4)</f>
        <v>1.0286999999999999</v>
      </c>
      <c r="T27" s="3177">
        <f>ROUND(IF([4]项目基本情况!$B$8="出让",SUMPRODUCT(PRODUCT(1+M27:M$36)),SUMPRODUCT(PRODUCT(1+M27:M$35))),4)</f>
        <v>1.0164</v>
      </c>
      <c r="U27" s="3177">
        <f>ROUND(IF([4]项目基本情况!$B$8="出让",SUMPRODUCT(PRODUCT(1+N27:N$36)),SUMPRODUCT(PRODUCT(1+N27:N$35))),4)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2817</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ROUND(IF([4]项目基本情况!$B$8="出让",SUMPRODUCT(PRODUCT(1+L28:L$36)),SUMPRODUCT(PRODUCT(1+L28:L$35))),4)</f>
        <v>1.0286999999999999</v>
      </c>
      <c r="T28" s="3177">
        <f>ROUND(IF([4]项目基本情况!$B$8="出让",SUMPRODUCT(PRODUCT(1+M28:M$36)),SUMPRODUCT(PRODUCT(1+M28:M$35))),4)</f>
        <v>1.0164</v>
      </c>
      <c r="U28" s="3177">
        <f>ROUND(IF([4]项目基本情况!$B$8="出让",SUMPRODUCT(PRODUCT(1+N28:N$36)),SUMPRODUCT(PRODUCT(1+N28:N$35))),4)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3364</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ROUND(IF([4]项目基本情况!$B$8="出让",SUMPRODUCT(PRODUCT(1+L29:L$36)),SUMPRODUCT(PRODUCT(1+L29:L$35))),4)</f>
        <v>1.0286999999999999</v>
      </c>
      <c r="T29" s="3186">
        <f>ROUND(IF([4]项目基本情况!$B$8="出让",SUMPRODUCT(PRODUCT(1+M29:M$36)),SUMPRODUCT(PRODUCT(1+M29:M$35))),4)</f>
        <v>1.0164</v>
      </c>
      <c r="U29" s="3186">
        <f>ROUND(IF([4]项目基本情况!$B$8="出让",SUMPRODUCT(PRODUCT(1+N29:N$36)),SUMPRODUCT(PRODUCT(1+N29:N$35))),4)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3365</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ROUND(IF([4]项目基本情况!$B$8="出让",SUMPRODUCT(PRODUCT(1+L30:L$36)),SUMPRODUCT(PRODUCT(1+L30:L$35))),4)</f>
        <v>1.0241</v>
      </c>
      <c r="T30" s="3177">
        <f>ROUND(IF([4]项目基本情况!$B$8="出让",SUMPRODUCT(PRODUCT(1+M30:M$36)),SUMPRODUCT(PRODUCT(1+M30:M$35))),4)</f>
        <v>1.0144</v>
      </c>
      <c r="U30" s="3177">
        <f>ROUND(IF([4]项目基本情况!$B$8="出让",SUMPRODUCT(PRODUCT(1+N30:N$36)),SUMPRODUCT(PRODUCT(1+N30:N$35))),4)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3355</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ROUND(IF([4]项目基本情况!$B$8="出让",SUMPRODUCT(PRODUCT(1+L31:L$36)),SUMPRODUCT(PRODUCT(1+L31:L$35))),4)</f>
        <v>1.0210999999999999</v>
      </c>
      <c r="T31" s="3177">
        <f>ROUND(IF([4]项目基本情况!$B$8="出让",SUMPRODUCT(PRODUCT(1+M31:M$36)),SUMPRODUCT(PRODUCT(1+M31:M$35))),4)</f>
        <v>1.0114000000000001</v>
      </c>
      <c r="U31" s="3177">
        <f>ROUND(IF([4]项目基本情况!$B$8="出让",SUMPRODUCT(PRODUCT(1+N31:N$36)),SUMPRODUCT(PRODUCT(1+N31:N$35))),4)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ROUND(IF([4]项目基本情况!$B$8="出让",SUMPRODUCT(PRODUCT(1+L32:L$36)),SUMPRODUCT(PRODUCT(1+L32:L$35))),4)</f>
        <v>1.0222</v>
      </c>
      <c r="T32" s="3177">
        <f>ROUND(IF([4]项目基本情况!$B$8="出让",SUMPRODUCT(PRODUCT(1+M32:M$36)),SUMPRODUCT(PRODUCT(1+M32:M$35))),4)</f>
        <v>1.0127999999999999</v>
      </c>
      <c r="U32" s="3177">
        <f>ROUND(IF([4]项目基本情况!$B$8="出让",SUMPRODUCT(PRODUCT(1+N32:N$36)),SUMPRODUCT(PRODUCT(1+N32:N$35))),4)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ROUND(IF([4]项目基本情况!$B$8="出让",SUMPRODUCT(PRODUCT(1+L33:L$36)),SUMPRODUCT(PRODUCT(1+L33:L$35))),4)</f>
        <v>1.0161</v>
      </c>
      <c r="T33" s="3177">
        <f>ROUND(IF([4]项目基本情况!$B$8="出让",SUMPRODUCT(PRODUCT(1+M33:M$36)),SUMPRODUCT(PRODUCT(1+M33:M$35))),4)</f>
        <v>1.0082</v>
      </c>
      <c r="U33" s="3177">
        <f>ROUND(IF([4]项目基本情况!$B$8="出让",SUMPRODUCT(PRODUCT(1+N33:N$36)),SUMPRODUCT(PRODUCT(1+N33:N$35))),4)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ROUND(IF([4]项目基本情况!$B$8="出让",SUMPRODUCT(PRODUCT(1+L34:L$36)),SUMPRODUCT(PRODUCT(1+L34:L$35))),4)</f>
        <v>1.0102</v>
      </c>
      <c r="T34" s="3177">
        <f>ROUND(IF([4]项目基本情况!$B$8="出让",SUMPRODUCT(PRODUCT(1+M34:M$36)),SUMPRODUCT(PRODUCT(1+M34:M$35))),4)</f>
        <v>1.0074000000000001</v>
      </c>
      <c r="U34" s="3177">
        <f>ROUND(IF([4]项目基本情况!$B$8="出让",SUMPRODUCT(PRODUCT(1+N34:N$36)),SUMPRODUCT(PRODUCT(1+N34:N$35))),4)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ROUND(IF([4]项目基本情况!$B$8="出让",SUMPRODUCT(PRODUCT(1+L35:L$36)),SUMPRODUCT(PRODUCT(1+L35:L$35))),4)</f>
        <v>1.0055000000000001</v>
      </c>
      <c r="T35" s="3177">
        <f>ROUND(IF([4]项目基本情况!$B$8="出让",SUMPRODUCT(PRODUCT(1+M35:M$36)),SUMPRODUCT(PRODUCT(1+M35:M$35))),4)</f>
        <v>1.0045999999999999</v>
      </c>
      <c r="U35" s="3177">
        <f>ROUND(IF([4]项目基本情况!$B$8="出让",SUMPRODUCT(PRODUCT(1+N35:N$36)),SUMPRODUCT(PRODUCT(1+N35:N$35))),4)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44998</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2309</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90" zoomScaleNormal="70" zoomScaleSheetLayoutView="90" workbookViewId="0">
      <selection activeCell="K43" sqref="K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3412</v>
      </c>
      <c r="C1" s="1859" t="s">
        <v>1563</v>
      </c>
      <c r="D1" s="198"/>
      <c r="E1" s="198"/>
      <c r="F1" s="198"/>
      <c r="G1" s="1126">
        <f>MATCH(B1,'数据-取费表'!A6:A16,0)+5</f>
        <v>6</v>
      </c>
      <c r="H1" s="1061" t="str">
        <f>IF(ISERROR(FIND("住宅",B1)),"非住宅","住宅")</f>
        <v>非住宅</v>
      </c>
    </row>
    <row r="2" spans="1:8" s="200" customFormat="1" ht="18" customHeight="1">
      <c r="A2" s="201" t="s">
        <v>1462</v>
      </c>
      <c r="B2" s="3418">
        <f ca="1">ROUND(IF(D2="——",C52/10000,C52/10000-E2),4)</f>
        <v>1594.9065000000001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26098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10081236</v>
      </c>
      <c r="D5" s="211" t="s">
        <v>1469</v>
      </c>
      <c r="E5" s="212" t="s">
        <v>1470</v>
      </c>
      <c r="F5" s="212" t="s">
        <v>1471</v>
      </c>
      <c r="G5" s="213"/>
    </row>
    <row r="6" spans="1:8" s="214" customFormat="1" ht="13.5" customHeight="1">
      <c r="A6" s="778" t="s">
        <v>1472</v>
      </c>
      <c r="B6" s="215" t="s">
        <v>1473</v>
      </c>
      <c r="C6" s="216">
        <f>ROUND(基准地价修正!C33*基准地价修正!D33,0)</f>
        <v>9664252</v>
      </c>
      <c r="D6" s="217"/>
      <c r="E6" s="218"/>
      <c r="F6" s="218"/>
      <c r="G6" s="219"/>
    </row>
    <row r="7" spans="1:8" s="214" customFormat="1" ht="13.5" customHeight="1">
      <c r="A7" s="778" t="s">
        <v>1474</v>
      </c>
      <c r="B7" s="215" t="s">
        <v>1475</v>
      </c>
      <c r="C7" s="220">
        <f>ROUND(C6*F7,0)</f>
        <v>294760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122224</v>
      </c>
      <c r="D8" s="222"/>
      <c r="E8" s="220"/>
      <c r="F8" s="221"/>
      <c r="G8" s="1856" t="s">
        <v>3403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122224</v>
      </c>
      <c r="D10" s="845">
        <f ca="1">IF(B1="",'数据-汇总表'!E6,IF(INDIRECT("'数据-取费表'!c"&amp;$G$1)="住宅",INDIRECT("'数据-取费表'!s"&amp;$G$1),INDIRECT("'数据-取费表'!k"&amp;$G$1)+INDIRECT("'数据-取费表'!s"&amp;$G$1)))</f>
        <v>611.12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611.12</v>
      </c>
      <c r="E19" s="211">
        <f>'数据-取费表'!B31</f>
        <v>200</v>
      </c>
      <c r="F19" s="231"/>
      <c r="G19" s="1856" t="s">
        <v>3404</v>
      </c>
    </row>
    <row r="20" spans="1:7" s="214" customFormat="1" ht="13.5" customHeight="1">
      <c r="A20" s="255" t="s">
        <v>1574</v>
      </c>
      <c r="B20" s="210" t="s">
        <v>1575</v>
      </c>
      <c r="C20" s="232">
        <f ca="1">ROUND((C5+C19)*F20,0)</f>
        <v>201625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640267</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634023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6244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1542429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1542429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13504016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2676705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2444480</v>
      </c>
      <c r="D34" s="217"/>
      <c r="E34" s="220"/>
      <c r="F34" s="257"/>
      <c r="G34" s="219"/>
    </row>
    <row r="35" spans="1:7" ht="13.5" customHeight="1">
      <c r="A35" s="780" t="s">
        <v>351</v>
      </c>
      <c r="B35" s="215" t="s">
        <v>1527</v>
      </c>
      <c r="C35" s="220">
        <f ca="1">ROUND(C34*F35,0)</f>
        <v>73334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122224</v>
      </c>
      <c r="D37" s="217">
        <f ca="1">D19</f>
        <v>611.12</v>
      </c>
      <c r="E37" s="249">
        <f>'数据-取费表'!B35</f>
        <v>200</v>
      </c>
      <c r="F37" s="259"/>
      <c r="G37" s="261"/>
    </row>
    <row r="38" spans="1:7" ht="13.5" customHeight="1">
      <c r="A38" s="780" t="s">
        <v>354</v>
      </c>
      <c r="B38" s="215" t="s">
        <v>1533</v>
      </c>
      <c r="C38" s="220">
        <f ca="1">ROUND(C34*F38,0)</f>
        <v>36667</v>
      </c>
      <c r="D38" s="220"/>
      <c r="E38" s="220"/>
      <c r="F38" s="259">
        <f>'数据-取费表'!B36</f>
        <v>1.4999999999999999E-2</v>
      </c>
      <c r="G38" s="219" t="s">
        <v>1528</v>
      </c>
    </row>
    <row r="39" spans="1:7" s="214" customFormat="1" ht="13.5" customHeight="1">
      <c r="A39" s="255" t="s">
        <v>1534</v>
      </c>
      <c r="B39" s="210" t="s">
        <v>1535</v>
      </c>
      <c r="C39" s="232">
        <f ca="1">ROUND(C33*F20,0)</f>
        <v>53534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84546</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82888</v>
      </c>
      <c r="D42" s="238"/>
      <c r="E42" s="238"/>
      <c r="F42" s="239"/>
      <c r="G42" s="3663" t="s">
        <v>1591</v>
      </c>
    </row>
    <row r="43" spans="1:7" ht="13.5" customHeight="1">
      <c r="A43" s="780" t="s">
        <v>347</v>
      </c>
      <c r="B43" s="215" t="s">
        <v>1545</v>
      </c>
      <c r="C43" s="238">
        <f ca="1">ROUND(IF('数据-取费表'!B22&lt;=1,C39*F22*'数据-取费表'!B20/2,C39*(POWER((1+F22),'数据-取费表'!B20/2)-1)),0)</f>
        <v>1658</v>
      </c>
      <c r="D43" s="238"/>
      <c r="E43" s="238"/>
      <c r="F43" s="239"/>
      <c r="G43" s="3664"/>
    </row>
    <row r="44" spans="1:7" ht="13.5" customHeight="1">
      <c r="A44" s="780" t="s">
        <v>348</v>
      </c>
      <c r="B44" s="215" t="s">
        <v>1546</v>
      </c>
      <c r="C44" s="238">
        <f ca="1">ROUND(IF('数据-取费表'!B22&lt;=1,C40*F22*'数据-取费表'!B20/2,C40*(POWER((1+F22),'数据-取费表'!B20/2)-1)),4)</f>
        <v>5.9999999999999995E-4</v>
      </c>
      <c r="D44" s="238"/>
      <c r="E44" s="238"/>
      <c r="F44" s="239"/>
      <c r="G44" s="3665"/>
    </row>
    <row r="45" spans="1:7" s="214" customFormat="1" ht="13.5" customHeight="1">
      <c r="A45" s="255" t="s">
        <v>1547</v>
      </c>
      <c r="B45" s="244" t="s">
        <v>1513</v>
      </c>
      <c r="C45" s="245">
        <f ca="1">C46</f>
        <v>409536</v>
      </c>
      <c r="D45" s="235">
        <f ca="1">C47</f>
        <v>3.0000000000000001E-3</v>
      </c>
      <c r="E45" s="236" t="s">
        <v>1539</v>
      </c>
      <c r="F45" s="246">
        <f ca="1">F27</f>
        <v>0.15</v>
      </c>
      <c r="G45" s="247" t="s">
        <v>1548</v>
      </c>
    </row>
    <row r="46" spans="1:7" s="214" customFormat="1" ht="13.5" customHeight="1">
      <c r="A46" s="780" t="s">
        <v>346</v>
      </c>
      <c r="B46" s="248" t="s">
        <v>1549</v>
      </c>
      <c r="C46" s="249">
        <f ca="1">ROUND((C33+C39)*F27,0)</f>
        <v>409536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3492927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2445049</v>
      </c>
      <c r="D51" s="232"/>
      <c r="E51" s="232"/>
      <c r="F51" s="264"/>
      <c r="G51" s="234" t="s">
        <v>1560</v>
      </c>
    </row>
    <row r="52" spans="1:7" s="208" customFormat="1" ht="16.5" thickBot="1">
      <c r="A52" s="265" t="s">
        <v>1561</v>
      </c>
      <c r="B52" s="266"/>
      <c r="C52" s="267">
        <f ca="1">C31+C51</f>
        <v>15949065</v>
      </c>
      <c r="D52" s="266"/>
      <c r="E52" s="266"/>
      <c r="F52" s="266"/>
      <c r="G52" s="268"/>
    </row>
    <row r="55" spans="1:7" ht="15">
      <c r="B55" s="270" t="s">
        <v>1562</v>
      </c>
      <c r="C55" s="271"/>
    </row>
    <row r="56" spans="1:7">
      <c r="B56" s="273" t="s">
        <v>802</v>
      </c>
      <c r="C56" s="275">
        <f ca="1">1-C57</f>
        <v>0.84699999999999998</v>
      </c>
    </row>
    <row r="57" spans="1:7">
      <c r="B57" s="273" t="s">
        <v>803</v>
      </c>
      <c r="C57" s="274">
        <f ca="1">ROUND(C51/C52,3)</f>
        <v>0.153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J25" sqref="J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611.12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966</v>
      </c>
      <c r="C2" s="1999" t="s">
        <v>1935</v>
      </c>
      <c r="D2" s="2000" t="s">
        <v>1936</v>
      </c>
      <c r="E2" s="3416"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23739</v>
      </c>
      <c r="U2" s="1213"/>
      <c r="V2" s="3355">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15807</v>
      </c>
      <c r="C3" s="1999" t="s">
        <v>1941</v>
      </c>
      <c r="D3" s="2000" t="s">
        <v>1942</v>
      </c>
      <c r="E3" s="3414" t="s">
        <v>2436</v>
      </c>
      <c r="F3" s="2004" t="s">
        <v>3397</v>
      </c>
      <c r="G3" s="752" t="e">
        <f>IF(F3="宗地容积率",'数据-汇总表'!I4,IF(F3="估价对象容积率",'数据-汇总表'!I6,'数据-汇总表'!I7))</f>
        <v>#DIV/0!</v>
      </c>
      <c r="H3" s="170" t="s">
        <v>1943</v>
      </c>
      <c r="I3" s="775">
        <v>3</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18711</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810"/>
      <c r="B4" s="3811"/>
      <c r="C4" s="3811"/>
      <c r="D4" s="3812"/>
      <c r="E4" s="3812"/>
      <c r="F4" s="3812"/>
      <c r="G4" s="3812"/>
      <c r="H4" s="3812"/>
      <c r="I4" s="3812"/>
      <c r="J4" s="3813"/>
      <c r="K4" s="1119"/>
      <c r="L4" s="2003" t="s">
        <v>1946</v>
      </c>
      <c r="M4" s="864">
        <f>SUMPRODUCT((区片价!B55:B86=I2)*(区片价!C3:G3=E2)*(区片价!C55:G86))</f>
        <v>19850</v>
      </c>
      <c r="N4" s="866">
        <f>SUMPRODUCT((因素修正幅度!B55:B86=I2)*(因素修正幅度!C3:G3=E2)*(因素修正幅度!C55:G86))</f>
        <v>8.5999999999999993E-2</v>
      </c>
      <c r="O4" s="1119"/>
      <c r="P4" s="1119"/>
      <c r="Q4" s="1119"/>
      <c r="R4" s="1212">
        <v>3</v>
      </c>
      <c r="S4" s="3355">
        <f>ROUND(SUMPRODUCT((B106:B110=R4)*(C105:N105=G2)*(C106:N110)),4)</f>
        <v>1.0004999999999999</v>
      </c>
      <c r="T4" s="3355">
        <f t="shared" si="0"/>
        <v>15814</v>
      </c>
      <c r="U4" s="1213">
        <f>D33</f>
        <v>611.12</v>
      </c>
      <c r="V4" s="3355">
        <f t="shared" si="1"/>
        <v>966</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19830</v>
      </c>
      <c r="D5" s="1339">
        <f>ROUND(C6*C17+C20,0)</f>
        <v>19830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13947</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19850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13404</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1955</v>
      </c>
      <c r="X7" s="1214" t="str">
        <f>G2</f>
        <v>四级</v>
      </c>
      <c r="Y7" s="1214" t="s">
        <v>1956</v>
      </c>
      <c r="Z7" s="1215" t="e">
        <f>G3</f>
        <v>#DIV/0!</v>
      </c>
      <c r="AA7" s="1216"/>
      <c r="AB7" s="1216"/>
      <c r="AC7" s="1217"/>
      <c r="AD7" s="1218"/>
      <c r="AE7" s="1218"/>
      <c r="AF7" s="1218"/>
      <c r="AG7" s="1218"/>
      <c r="AH7" s="1218"/>
      <c r="AI7" s="1218"/>
      <c r="AJ7" s="1219"/>
    </row>
    <row r="8" spans="1:36" ht="25.5">
      <c r="A8" s="3293"/>
      <c r="B8" s="170" t="s">
        <v>1957</v>
      </c>
      <c r="C8" s="2026" t="s">
        <v>3398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807" t="s">
        <v>1960</v>
      </c>
      <c r="X8" s="380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809"/>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80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4"/>
      <c r="AE11" s="2784"/>
      <c r="AF11" s="2784"/>
      <c r="AG11" s="2784"/>
      <c r="AH11" s="2784"/>
      <c r="AI11" s="2784"/>
      <c r="AJ11" s="2785"/>
    </row>
    <row r="12" spans="1:36" ht="25.5" thickBot="1">
      <c r="A12" s="3298" t="s">
        <v>3239</v>
      </c>
      <c r="B12" s="3299" t="s">
        <v>3240</v>
      </c>
      <c r="C12" s="3300">
        <v>1</v>
      </c>
      <c r="D12" s="3301" t="s">
        <v>3241</v>
      </c>
      <c r="E12" s="3302" t="s">
        <v>3242</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4"/>
      <c r="AE12" s="2784"/>
      <c r="AF12" s="2784"/>
      <c r="AG12" s="2784"/>
      <c r="AH12" s="2784"/>
      <c r="AI12" s="2784"/>
      <c r="AJ12" s="2785"/>
    </row>
    <row r="13" spans="1:36" ht="15.75" thickBot="1">
      <c r="A13" s="3298" t="s">
        <v>3243</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4"/>
      <c r="AE13" s="2784"/>
      <c r="AF13" s="2784"/>
      <c r="AG13" s="2784"/>
      <c r="AH13" s="2784"/>
      <c r="AI13" s="2784"/>
      <c r="AJ13" s="2785"/>
    </row>
    <row r="14" spans="1:36" ht="15">
      <c r="A14" s="3292"/>
      <c r="B14" s="2040" t="s">
        <v>1985</v>
      </c>
      <c r="C14" s="2041" t="s">
        <v>1986</v>
      </c>
      <c r="D14" s="1350" t="s">
        <v>1987</v>
      </c>
      <c r="E14" s="27" t="s">
        <v>1988</v>
      </c>
      <c r="F14" s="3306" t="s">
        <v>3244</v>
      </c>
      <c r="G14" s="3306" t="s">
        <v>3244</v>
      </c>
      <c r="H14" s="3306" t="s">
        <v>3244</v>
      </c>
      <c r="I14" s="3306" t="s">
        <v>3244</v>
      </c>
      <c r="J14" s="3306" t="s">
        <v>3244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4"/>
      <c r="AE14" s="2784"/>
      <c r="AF14" s="2784"/>
      <c r="AG14" s="2784"/>
      <c r="AH14" s="2784"/>
      <c r="AI14" s="2784"/>
      <c r="AJ14" s="2785"/>
    </row>
    <row r="15" spans="1:36" ht="15">
      <c r="A15" s="3292"/>
      <c r="B15" s="2042"/>
      <c r="C15" s="2043"/>
      <c r="D15" s="2044"/>
      <c r="E15" s="2045"/>
      <c r="F15" s="3307" t="s">
        <v>3245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4"/>
      <c r="AE15" s="2784"/>
      <c r="AF15" s="2784"/>
      <c r="AG15" s="2784"/>
      <c r="AH15" s="2784"/>
      <c r="AI15" s="2784"/>
      <c r="AJ15" s="2785"/>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4"/>
      <c r="AE16" s="2784"/>
      <c r="AF16" s="2784"/>
      <c r="AG16" s="2784"/>
      <c r="AH16" s="2784"/>
      <c r="AI16" s="2784"/>
      <c r="AJ16" s="2785"/>
    </row>
    <row r="17" spans="1:37">
      <c r="A17" s="3324" t="s">
        <v>3246</v>
      </c>
      <c r="B17" s="3315" t="s">
        <v>3247</v>
      </c>
      <c r="C17" s="3325">
        <f>ROUND(IF(OR(E2="工业",E2="公共服务"),1,IF(AND(E18=0,E19=0),1,IF(AND(E18=J24,E19=G19),0.8,IF(E19=0,1+E17*(-0.2),1+E17*G17*(-0.2))))),4)</f>
        <v>1</v>
      </c>
      <c r="D17" s="3316" t="s">
        <v>3248</v>
      </c>
      <c r="E17" s="3325">
        <f>ROUND(G18/I18,2)</f>
        <v>0</v>
      </c>
      <c r="F17" s="3316" t="s">
        <v>3251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3249</v>
      </c>
      <c r="E18" s="3323"/>
      <c r="F18" s="3318" t="s">
        <v>3252</v>
      </c>
      <c r="G18" s="3322">
        <f>ROUND(1-(1/(POWER(1+G24,E18))),4)</f>
        <v>0</v>
      </c>
      <c r="H18" s="3318" t="s">
        <v>3254</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29"/>
      <c r="B19" s="3330"/>
      <c r="C19" s="3331"/>
      <c r="D19" s="3331" t="s">
        <v>3250</v>
      </c>
      <c r="E19" s="3332"/>
      <c r="F19" s="3333" t="s">
        <v>3253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814" t="s">
        <v>3255</v>
      </c>
      <c r="B20" s="167" t="s">
        <v>1994</v>
      </c>
      <c r="C20" s="3319">
        <f>ROUND(IF(F21="与级别开发程度一致",0,(G21-E21)/C21),0)</f>
        <v>-20</v>
      </c>
      <c r="D20" s="3335" t="s">
        <v>1998</v>
      </c>
      <c r="E20" s="3336"/>
      <c r="F20" s="3820" t="s">
        <v>1995</v>
      </c>
      <c r="G20" s="3821"/>
      <c r="H20" s="3320" t="s">
        <v>3380</v>
      </c>
      <c r="I20" s="3320" t="s">
        <v>3381</v>
      </c>
      <c r="J20" s="3321" t="s">
        <v>3382</v>
      </c>
      <c r="K20" s="2047" t="s">
        <v>3383</v>
      </c>
      <c r="L20" s="2047" t="s">
        <v>3384</v>
      </c>
      <c r="M20" s="2047" t="s">
        <v>3409</v>
      </c>
      <c r="N20" s="2047" t="s">
        <v>3385</v>
      </c>
      <c r="O20" s="2048" t="s">
        <v>43</v>
      </c>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81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2000</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44998</v>
      </c>
      <c r="H23" s="3337" t="s">
        <v>3257</v>
      </c>
      <c r="I23" s="3338" t="str">
        <f>IF(H23="季度增幅（自定义）",SUMIF(N25:N28,E2,O25:O28),"")</f>
        <v/>
      </c>
      <c r="J23" s="3440" t="s">
        <v>3256</v>
      </c>
      <c r="K23" s="1125"/>
      <c r="L23" s="2055" t="s">
        <v>2004</v>
      </c>
      <c r="M23" s="1328">
        <f>ROUND(SUMIF(地价!B2:G2,E2,地价!B16:G16),0)</f>
        <v>350</v>
      </c>
      <c r="N23" s="2056" t="s">
        <v>2005</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0.74580000000000002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20.05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3416</v>
      </c>
      <c r="C25" s="771">
        <f>IF(B25="容积率修正",IF(G3&lt;10,D26,J26),C27)</f>
        <v>1.0004999999999999</v>
      </c>
      <c r="D25" s="2067"/>
      <c r="E25" s="2067"/>
      <c r="F25" s="2067"/>
      <c r="G25" s="2067"/>
      <c r="H25" s="2067"/>
      <c r="I25" s="2067"/>
      <c r="J25" s="2068"/>
      <c r="K25" s="1125"/>
      <c r="L25" s="2783"/>
      <c r="M25" s="2783"/>
      <c r="N25" s="2069"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3258</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9" t="s">
        <v>3259</v>
      </c>
      <c r="J26" s="772" t="e">
        <f>IF(G3&gt;=10,D115,"——")</f>
        <v>#DIV/0!</v>
      </c>
      <c r="K26" s="1125"/>
      <c r="L26" s="2783"/>
      <c r="M26" s="2783"/>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1.0004999999999999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1.0426</v>
      </c>
      <c r="D28" s="2052"/>
      <c r="E28" s="2077"/>
      <c r="F28" s="2077"/>
      <c r="G28" s="2077"/>
      <c r="H28" s="2077"/>
      <c r="I28" s="2077"/>
      <c r="J28" s="2078"/>
      <c r="K28" s="1125"/>
      <c r="L28" s="2783"/>
      <c r="M28" s="2783"/>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966</v>
      </c>
      <c r="D30" s="2083"/>
      <c r="E30" s="2046"/>
      <c r="F30" s="2084"/>
      <c r="G30" s="2046"/>
      <c r="H30" s="2046"/>
      <c r="I30" s="2046"/>
      <c r="J30" s="2085"/>
      <c r="K30" s="1119"/>
      <c r="L30" s="3345" t="s">
        <v>1936</v>
      </c>
      <c r="M30" s="3346" t="s">
        <v>1990</v>
      </c>
      <c r="N30" s="3346" t="s">
        <v>1991</v>
      </c>
      <c r="O30" s="3346" t="s">
        <v>1992</v>
      </c>
      <c r="P30" s="3346" t="s">
        <v>1993</v>
      </c>
      <c r="Q30" s="3349"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6">
        <f>ROUND($E$24*(1+M31),3)</f>
        <v>5.3999999999999999E-2</v>
      </c>
      <c r="N32" s="2566">
        <f>ROUND($E$24*(1+N31),3)</f>
        <v>5.1999999999999998E-2</v>
      </c>
      <c r="O32" s="2566">
        <f>ROUND($E$24*(1+O31),3)</f>
        <v>0.05</v>
      </c>
      <c r="P32" s="2566">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15814</v>
      </c>
      <c r="D33" s="2098">
        <f>'数据-汇总表'!F27</f>
        <v>611.12</v>
      </c>
      <c r="E33" s="773">
        <f>ROUND(C33*D33/10000,0)</f>
        <v>966</v>
      </c>
      <c r="F33" s="3340" t="s">
        <v>3261</v>
      </c>
      <c r="G33" s="2099"/>
      <c r="H33" s="2099"/>
      <c r="I33" s="2099"/>
      <c r="J33" s="2100"/>
      <c r="K33" s="1119"/>
      <c r="L33" s="3343" t="s">
        <v>3264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3" t="s">
        <v>3265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18"/>
      <c r="B37" s="2113" t="s">
        <v>2036</v>
      </c>
      <c r="C37" s="175">
        <f>ROUND(D5*C22*C23*C24*C28*F37,0)</f>
        <v>9484</v>
      </c>
      <c r="D37" s="2098"/>
      <c r="E37" s="171">
        <f>ROUND(C37*D37/10000,0)</f>
        <v>0</v>
      </c>
      <c r="F37" s="171">
        <f>SUMIF(修正!A57:A68,G2,修正!B57:B68)</f>
        <v>0.6</v>
      </c>
      <c r="G37" s="171">
        <f>ROUND(IF(E2="工业",C37*$M$42,C37*$M$41),0)</f>
        <v>2371</v>
      </c>
      <c r="H37" s="171">
        <f>D37</f>
        <v>0</v>
      </c>
      <c r="I37" s="171">
        <f>ROUND(G37*H37/10000,0)</f>
        <v>0</v>
      </c>
      <c r="J37" s="3006"/>
      <c r="K37" s="3353" t="s">
        <v>3267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9"/>
      <c r="B38" s="2041" t="s">
        <v>2037</v>
      </c>
      <c r="C38" s="175">
        <f>ROUND(D5*C22*C23*C24*C28*F38,0)</f>
        <v>4742</v>
      </c>
      <c r="D38" s="2098"/>
      <c r="E38" s="171">
        <f t="shared" ref="E38:E42" si="4">ROUND(C38*D38/10000,0)</f>
        <v>0</v>
      </c>
      <c r="F38" s="171">
        <f>SUMIF(修正!A57:A68,G2,修正!C57:C68)</f>
        <v>0.3</v>
      </c>
      <c r="G38" s="171">
        <f>ROUND(IF(E2="工业",C38*$M$42,C38*$M$41),0)</f>
        <v>1186</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819"/>
      <c r="B39" s="2041" t="s">
        <v>3260</v>
      </c>
      <c r="C39" s="175">
        <f>ROUND(D5*C22*C23*C24*C28*F39,0)</f>
        <v>3952</v>
      </c>
      <c r="D39" s="2098"/>
      <c r="E39" s="171">
        <f t="shared" si="4"/>
        <v>0</v>
      </c>
      <c r="F39" s="171">
        <f>SUMIF(修正!A57:A68,G2,修正!D57:D68)</f>
        <v>0.25</v>
      </c>
      <c r="G39" s="171">
        <f>ROUND(IF(E2="工业",C39*$M$42,C39*$M$41),0)</f>
        <v>988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3952</v>
      </c>
      <c r="D40" s="2098"/>
      <c r="E40" s="171">
        <f t="shared" si="4"/>
        <v>0</v>
      </c>
      <c r="F40" s="175">
        <f>SUMIF(修正!A57:A68,G2,修正!E57:E68)</f>
        <v>0.25</v>
      </c>
      <c r="G40" s="171">
        <f>ROUND(IF(E2="工业",C40*$M$42,C40*$M$41),0)</f>
        <v>988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3400</v>
      </c>
      <c r="D50" s="1065">
        <f t="shared" ref="D50:D58" si="7">SUMIF($J$49:$N$49,C50,J50:N50)</f>
        <v>1.29E-2</v>
      </c>
      <c r="E50" s="744">
        <f>ROUND(SUM(D50:D58),4)</f>
        <v>4.2599999999999999E-2</v>
      </c>
      <c r="F50" s="1814">
        <f>IF(E2="商业",SUMIF(L1:L12,G2,N1:N12),"——")</f>
        <v>8.5999999999999993E-2</v>
      </c>
      <c r="G50" s="1063">
        <v>1.29E-2</v>
      </c>
      <c r="H50" s="1066">
        <f t="shared" ref="H50:H58" si="8">IFERROR(ROUNDDOWN($F$50*I50/2,4),"——")</f>
        <v>1.29E-2</v>
      </c>
      <c r="I50" s="3361">
        <v>0.3</v>
      </c>
      <c r="J50" s="1064">
        <f t="shared" ref="J50:J58" si="9">K50+$G50</f>
        <v>2.58E-2</v>
      </c>
      <c r="K50" s="1064">
        <f t="shared" ref="K50:K58" si="10">$L50+$G50</f>
        <v>1.29E-2</v>
      </c>
      <c r="L50" s="1064">
        <v>0</v>
      </c>
      <c r="M50" s="1064">
        <f t="shared" ref="M50:N58" si="11">L50-$G50</f>
        <v>-1.29E-2</v>
      </c>
      <c r="N50" s="1064">
        <f t="shared" si="11"/>
        <v>-2.58E-2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3400</v>
      </c>
      <c r="D51" s="1065">
        <f t="shared" si="7"/>
        <v>9.4000000000000004E-3</v>
      </c>
      <c r="E51" s="745"/>
      <c r="F51" s="1814"/>
      <c r="G51" s="1063">
        <v>9.4000000000000004E-3</v>
      </c>
      <c r="H51" s="1066">
        <f t="shared" si="8"/>
        <v>9.4000000000000004E-3</v>
      </c>
      <c r="I51" s="3361">
        <v>0.22</v>
      </c>
      <c r="J51" s="1064">
        <f t="shared" si="9"/>
        <v>1.8800000000000001E-2</v>
      </c>
      <c r="K51" s="1064">
        <f t="shared" si="10"/>
        <v>9.4000000000000004E-3</v>
      </c>
      <c r="L51" s="1064">
        <v>0</v>
      </c>
      <c r="M51" s="1064">
        <f t="shared" si="11"/>
        <v>-9.4000000000000004E-3</v>
      </c>
      <c r="N51" s="1064">
        <f t="shared" si="11"/>
        <v>-1.8800000000000001E-2</v>
      </c>
      <c r="AA51" s="1120"/>
      <c r="AB51" s="1120"/>
      <c r="AC51" s="1120"/>
      <c r="AD51" s="1120"/>
      <c r="AE51" s="1120"/>
      <c r="AF51" s="1120"/>
      <c r="AG51" s="1120"/>
      <c r="AH51" s="1120"/>
      <c r="AI51" s="1120"/>
      <c r="AJ51" s="1120"/>
      <c r="AK51" s="1120"/>
    </row>
    <row r="52" spans="1:37" s="1119" customFormat="1" ht="36">
      <c r="A52" s="3363" t="s">
        <v>3270</v>
      </c>
      <c r="B52" s="2134">
        <f>估价对象房地状况!C19</f>
        <v>0</v>
      </c>
      <c r="C52" s="2044" t="s">
        <v>3400</v>
      </c>
      <c r="D52" s="1065">
        <f t="shared" si="7"/>
        <v>5.1000000000000004E-3</v>
      </c>
      <c r="E52" s="745"/>
      <c r="F52" s="1814"/>
      <c r="G52" s="1063">
        <v>5.1000000000000004E-3</v>
      </c>
      <c r="H52" s="1066">
        <f t="shared" si="8"/>
        <v>5.1000000000000004E-3</v>
      </c>
      <c r="I52" s="3361">
        <v>0.12</v>
      </c>
      <c r="J52" s="1064">
        <f t="shared" si="9"/>
        <v>1.0200000000000001E-2</v>
      </c>
      <c r="K52" s="1064">
        <f t="shared" si="10"/>
        <v>5.1000000000000004E-3</v>
      </c>
      <c r="L52" s="1064">
        <v>0</v>
      </c>
      <c r="M52" s="1064">
        <f t="shared" si="11"/>
        <v>-5.1000000000000004E-3</v>
      </c>
      <c r="N52" s="1064">
        <f t="shared" si="11"/>
        <v>-1.0200000000000001E-2</v>
      </c>
      <c r="AA52" s="1120"/>
      <c r="AB52" s="1120"/>
      <c r="AC52" s="1120"/>
      <c r="AD52" s="1120"/>
      <c r="AE52" s="1120"/>
      <c r="AF52" s="1120"/>
      <c r="AG52" s="1120"/>
      <c r="AH52" s="1120"/>
      <c r="AI52" s="1120"/>
      <c r="AJ52" s="1120"/>
      <c r="AK52" s="1120"/>
    </row>
    <row r="53" spans="1:37" s="1119" customFormat="1" ht="36.75">
      <c r="A53" s="2130" t="s">
        <v>2054</v>
      </c>
      <c r="B53" s="2135" t="s">
        <v>2055</v>
      </c>
      <c r="C53" s="2044" t="s">
        <v>3400</v>
      </c>
      <c r="D53" s="1065">
        <f t="shared" si="7"/>
        <v>2.0999999999999999E-3</v>
      </c>
      <c r="E53" s="745"/>
      <c r="F53" s="1814"/>
      <c r="G53" s="1063">
        <v>2.0999999999999999E-3</v>
      </c>
      <c r="H53" s="1066">
        <f t="shared" si="8"/>
        <v>2.0999999999999999E-3</v>
      </c>
      <c r="I53" s="3361">
        <v>0.05</v>
      </c>
      <c r="J53" s="1064">
        <f t="shared" si="9"/>
        <v>4.1999999999999997E-3</v>
      </c>
      <c r="K53" s="1064">
        <f t="shared" si="10"/>
        <v>2.0999999999999999E-3</v>
      </c>
      <c r="L53" s="1064">
        <v>0</v>
      </c>
      <c r="M53" s="1064">
        <f t="shared" si="11"/>
        <v>-2.0999999999999999E-3</v>
      </c>
      <c r="N53" s="1064">
        <f t="shared" si="11"/>
        <v>-4.1999999999999997E-3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0</v>
      </c>
      <c r="E54" s="745"/>
      <c r="F54" s="1814"/>
      <c r="G54" s="1063">
        <v>3.3999999999999998E-3</v>
      </c>
      <c r="H54" s="1066">
        <f t="shared" si="8"/>
        <v>3.3999999999999998E-3</v>
      </c>
      <c r="I54" s="3361">
        <v>0.08</v>
      </c>
      <c r="J54" s="1064">
        <f t="shared" si="9"/>
        <v>6.7999999999999996E-3</v>
      </c>
      <c r="K54" s="1064">
        <f t="shared" si="10"/>
        <v>3.3999999999999998E-3</v>
      </c>
      <c r="L54" s="1064">
        <v>0</v>
      </c>
      <c r="M54" s="1064">
        <f t="shared" si="11"/>
        <v>-3.3999999999999998E-3</v>
      </c>
      <c r="N54" s="1064">
        <f t="shared" si="11"/>
        <v>-6.7999999999999996E-3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3400</v>
      </c>
      <c r="D55" s="1065">
        <f t="shared" si="7"/>
        <v>2.0999999999999999E-3</v>
      </c>
      <c r="E55" s="745"/>
      <c r="F55" s="1814"/>
      <c r="G55" s="1063">
        <v>2.0999999999999999E-3</v>
      </c>
      <c r="H55" s="1066">
        <f t="shared" si="8"/>
        <v>2.0999999999999999E-3</v>
      </c>
      <c r="I55" s="3361">
        <v>0.05</v>
      </c>
      <c r="J55" s="1064">
        <f t="shared" si="9"/>
        <v>4.1999999999999997E-3</v>
      </c>
      <c r="K55" s="1064">
        <f t="shared" si="10"/>
        <v>2.0999999999999999E-3</v>
      </c>
      <c r="L55" s="1064">
        <v>0</v>
      </c>
      <c r="M55" s="1064">
        <f t="shared" si="11"/>
        <v>-2.0999999999999999E-3</v>
      </c>
      <c r="N55" s="1064">
        <f t="shared" si="11"/>
        <v>-4.1999999999999997E-3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3400</v>
      </c>
      <c r="D56" s="1065">
        <f t="shared" si="7"/>
        <v>2.0999999999999999E-3</v>
      </c>
      <c r="E56" s="745"/>
      <c r="F56" s="1814"/>
      <c r="G56" s="1063">
        <v>2.0999999999999999E-3</v>
      </c>
      <c r="H56" s="1066">
        <f t="shared" si="8"/>
        <v>2.0999999999999999E-3</v>
      </c>
      <c r="I56" s="3361">
        <v>0.05</v>
      </c>
      <c r="J56" s="1064">
        <f t="shared" si="9"/>
        <v>4.1999999999999997E-3</v>
      </c>
      <c r="K56" s="1064">
        <f t="shared" si="10"/>
        <v>2.0999999999999999E-3</v>
      </c>
      <c r="L56" s="1064">
        <v>0</v>
      </c>
      <c r="M56" s="1064">
        <f t="shared" si="11"/>
        <v>-2.0999999999999999E-3</v>
      </c>
      <c r="N56" s="1064">
        <f t="shared" si="11"/>
        <v>-4.1999999999999997E-3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3402</v>
      </c>
      <c r="D57" s="1065">
        <f t="shared" si="7"/>
        <v>6.7999999999999996E-3</v>
      </c>
      <c r="E57" s="745"/>
      <c r="F57" s="1814"/>
      <c r="G57" s="1063">
        <v>3.3999999999999998E-3</v>
      </c>
      <c r="H57" s="1066">
        <f t="shared" si="8"/>
        <v>3.3999999999999998E-3</v>
      </c>
      <c r="I57" s="3361">
        <v>0.08</v>
      </c>
      <c r="J57" s="1064">
        <f t="shared" si="9"/>
        <v>6.7999999999999996E-3</v>
      </c>
      <c r="K57" s="1064">
        <f t="shared" si="10"/>
        <v>3.3999999999999998E-3</v>
      </c>
      <c r="L57" s="1064">
        <v>0</v>
      </c>
      <c r="M57" s="1064">
        <f t="shared" si="11"/>
        <v>-3.3999999999999998E-3</v>
      </c>
      <c r="N57" s="1064">
        <f t="shared" si="11"/>
        <v>-6.7999999999999996E-3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3400</v>
      </c>
      <c r="D58" s="1065">
        <f t="shared" si="7"/>
        <v>2.0999999999999999E-3</v>
      </c>
      <c r="E58" s="746"/>
      <c r="F58" s="1814"/>
      <c r="G58" s="1063">
        <v>2.0999999999999999E-3</v>
      </c>
      <c r="H58" s="1066">
        <f t="shared" si="8"/>
        <v>2.0999999999999999E-3</v>
      </c>
      <c r="I58" s="3362">
        <v>0.05</v>
      </c>
      <c r="J58" s="1064">
        <f t="shared" si="9"/>
        <v>4.1999999999999997E-3</v>
      </c>
      <c r="K58" s="1064">
        <f t="shared" si="10"/>
        <v>2.0999999999999999E-3</v>
      </c>
      <c r="L58" s="1064">
        <v>0</v>
      </c>
      <c r="M58" s="1064">
        <f t="shared" si="11"/>
        <v>-2.0999999999999999E-3</v>
      </c>
      <c r="N58" s="1064">
        <f t="shared" si="11"/>
        <v>-4.1999999999999997E-3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3270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3270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3271</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2609</v>
      </c>
      <c r="B91" s="3372">
        <f>1+E93</f>
        <v>1</v>
      </c>
      <c r="C91" s="3365"/>
      <c r="D91" s="3366"/>
      <c r="E91" s="1814"/>
      <c r="F91" s="1814"/>
      <c r="G91" s="3367"/>
      <c r="H91" s="3368"/>
      <c r="I91" s="3369"/>
      <c r="J91" s="3370"/>
      <c r="K91" s="3370"/>
      <c r="L91" s="3370"/>
      <c r="M91" s="3370"/>
      <c r="N91" s="3370"/>
    </row>
    <row r="92" spans="1:37" ht="24.75">
      <c r="A92" s="3373" t="s">
        <v>3272</v>
      </c>
      <c r="B92" s="3360"/>
      <c r="C92" s="3360" t="s">
        <v>3281</v>
      </c>
      <c r="D92" s="3360" t="s">
        <v>3282</v>
      </c>
      <c r="E92" s="3342" t="s">
        <v>3283</v>
      </c>
      <c r="F92" s="3375" t="s">
        <v>3284</v>
      </c>
      <c r="G92" s="3360" t="s">
        <v>3285</v>
      </c>
      <c r="H92" s="3382" t="s">
        <v>3288</v>
      </c>
      <c r="I92" s="3360" t="s">
        <v>3289</v>
      </c>
      <c r="J92" s="3383" t="s">
        <v>3290</v>
      </c>
      <c r="K92" s="3383" t="s">
        <v>3291</v>
      </c>
      <c r="L92" s="3383" t="s">
        <v>3292</v>
      </c>
      <c r="M92" s="3383" t="s">
        <v>3293</v>
      </c>
      <c r="N92" s="3383" t="s">
        <v>3294</v>
      </c>
    </row>
    <row r="93" spans="1:37" ht="24">
      <c r="A93" s="3363" t="s">
        <v>3273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3275</v>
      </c>
      <c r="B96" s="3379" t="s">
        <v>3286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3277</v>
      </c>
      <c r="B98" s="3380" t="s">
        <v>3287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3280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16" t="s">
        <v>3295</v>
      </c>
      <c r="B103" s="3816"/>
      <c r="C103" s="3816"/>
      <c r="D103" s="3816"/>
      <c r="E103" s="3816"/>
      <c r="F103" s="3816"/>
      <c r="G103" s="3816"/>
      <c r="H103" s="3816"/>
      <c r="I103" s="3816"/>
      <c r="J103" s="3816"/>
      <c r="K103" s="3384"/>
      <c r="L103" s="3384"/>
      <c r="M103" s="3384"/>
      <c r="N103" s="3384"/>
    </row>
    <row r="104" spans="1:14">
      <c r="A104" s="3817" t="s">
        <v>3296</v>
      </c>
      <c r="B104" s="3817" t="s">
        <v>3297</v>
      </c>
      <c r="C104" s="3385" t="s">
        <v>3298</v>
      </c>
      <c r="D104" s="3386"/>
      <c r="E104" s="3386"/>
      <c r="F104" s="3386"/>
      <c r="G104" s="3386"/>
      <c r="H104" s="3386"/>
      <c r="I104" s="3386"/>
      <c r="J104" s="3387"/>
      <c r="K104" s="3388"/>
      <c r="L104" s="3388"/>
      <c r="M104" s="3388"/>
      <c r="N104" s="3388"/>
    </row>
    <row r="105" spans="1:14">
      <c r="A105" s="3817"/>
      <c r="B105" s="3817"/>
      <c r="C105" s="3389" t="s">
        <v>3299</v>
      </c>
      <c r="D105" s="3389" t="s">
        <v>3300</v>
      </c>
      <c r="E105" s="3389" t="s">
        <v>3301</v>
      </c>
      <c r="F105" s="3389" t="s">
        <v>3302</v>
      </c>
      <c r="G105" s="3389" t="s">
        <v>3303</v>
      </c>
      <c r="H105" s="3389" t="s">
        <v>3304</v>
      </c>
      <c r="I105" s="3389" t="s">
        <v>3305</v>
      </c>
      <c r="J105" s="3389" t="s">
        <v>3306</v>
      </c>
      <c r="K105" s="3389" t="s">
        <v>3307</v>
      </c>
      <c r="L105" s="3389" t="s">
        <v>3308</v>
      </c>
      <c r="M105" s="3389" t="s">
        <v>3309</v>
      </c>
      <c r="N105" s="3389" t="s">
        <v>3310</v>
      </c>
    </row>
    <row r="106" spans="1:14">
      <c r="A106" s="3803" t="s">
        <v>3311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0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0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0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0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04"/>
      <c r="B111" s="3389" t="s">
        <v>3269</v>
      </c>
      <c r="C111" s="3390">
        <f>$I$3</f>
        <v>3</v>
      </c>
      <c r="D111" s="3390">
        <f t="shared" ref="D111:M111" si="32">$I$3</f>
        <v>3</v>
      </c>
      <c r="E111" s="3390">
        <f t="shared" si="32"/>
        <v>3</v>
      </c>
      <c r="F111" s="3390">
        <f t="shared" si="32"/>
        <v>3</v>
      </c>
      <c r="G111" s="3390">
        <f t="shared" si="32"/>
        <v>3</v>
      </c>
      <c r="H111" s="3390">
        <f t="shared" si="32"/>
        <v>3</v>
      </c>
      <c r="I111" s="3390">
        <f t="shared" si="32"/>
        <v>3</v>
      </c>
      <c r="J111" s="3390">
        <f t="shared" si="32"/>
        <v>3</v>
      </c>
      <c r="K111" s="3390">
        <f t="shared" si="32"/>
        <v>3</v>
      </c>
      <c r="L111" s="3390">
        <f t="shared" si="32"/>
        <v>3</v>
      </c>
      <c r="M111" s="3390">
        <f t="shared" si="32"/>
        <v>3</v>
      </c>
      <c r="N111" s="3390">
        <f>$I$3</f>
        <v>3</v>
      </c>
    </row>
    <row r="112" spans="1:14">
      <c r="A112" s="3805"/>
      <c r="B112" s="3389">
        <v>6</v>
      </c>
      <c r="C112" s="3382">
        <f>(-0.5556*(C111^2)-0.2719*C111+8944)*(10^(-4))</f>
        <v>0.89381839000000007</v>
      </c>
      <c r="D112" s="3382">
        <f>(-0.5556*(D111^2)-0.2719*D111+8944)*(10^(-4))</f>
        <v>0.89381839000000007</v>
      </c>
      <c r="E112" s="3382">
        <f>(-0.7912*(E111^2)-11.3794*E111+8482)*(10^(-4))</f>
        <v>0.84407410000000005</v>
      </c>
      <c r="F112" s="3382">
        <f t="shared" ref="F112:I112" si="33">(-0.7912*(F111^2)-11.3794*F111+8482)*(10^(-4))</f>
        <v>0.84407410000000005</v>
      </c>
      <c r="G112" s="3382">
        <f t="shared" si="33"/>
        <v>0.84407410000000005</v>
      </c>
      <c r="H112" s="3382">
        <f t="shared" si="33"/>
        <v>0.84407410000000005</v>
      </c>
      <c r="I112" s="3382">
        <f t="shared" si="33"/>
        <v>0.84407410000000005</v>
      </c>
      <c r="J112" s="3382">
        <f>(-0.989*(J111^2)-63.78*J111+7771)*(10^(-4))</f>
        <v>0.75707590000000002</v>
      </c>
      <c r="K112" s="3382">
        <f t="shared" ref="K112:N112" si="34">(-0.989*(K111^2)-63.78*K111+7771)*(10^(-4))</f>
        <v>0.75707590000000002</v>
      </c>
      <c r="L112" s="3382">
        <f t="shared" si="34"/>
        <v>0.75707590000000002</v>
      </c>
      <c r="M112" s="3382">
        <f t="shared" si="34"/>
        <v>0.75707590000000002</v>
      </c>
      <c r="N112" s="3382">
        <f t="shared" si="34"/>
        <v>0.75707590000000002</v>
      </c>
    </row>
    <row r="113" spans="1:14">
      <c r="A113" s="3806" t="s">
        <v>3312</v>
      </c>
      <c r="B113" s="3806"/>
      <c r="C113" s="3806"/>
      <c r="D113" s="3806"/>
      <c r="E113" s="3806"/>
      <c r="F113" s="3806"/>
      <c r="G113" s="3806"/>
      <c r="H113" s="3806"/>
      <c r="I113" s="3806"/>
      <c r="J113" s="380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3313</v>
      </c>
      <c r="B116" s="3410" t="e">
        <f>G3</f>
        <v>#DIV/0!</v>
      </c>
      <c r="C116" s="3394" t="s">
        <v>3314</v>
      </c>
      <c r="D116" s="3395" t="e">
        <f>SUMPRODUCT((A118:A122=F116)*(B117:M117=H116)*B118:M122)</f>
        <v>#DIV/0!</v>
      </c>
      <c r="E116" s="2000" t="s">
        <v>3315</v>
      </c>
      <c r="F116" s="3396" t="str">
        <f>E2</f>
        <v>商业</v>
      </c>
      <c r="G116" s="2000" t="s">
        <v>3316</v>
      </c>
      <c r="H116" s="3396" t="str">
        <f>G2</f>
        <v>四级</v>
      </c>
      <c r="I116" s="2000"/>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3329</v>
      </c>
      <c r="B118" s="3382" t="e">
        <f>ROUND(0.9968-0.011*B116,4)</f>
        <v>#DIV/0!</v>
      </c>
      <c r="C118" s="3382" t="e">
        <f>B118</f>
        <v>#DIV/0!</v>
      </c>
      <c r="D118" s="3382" t="e">
        <f>ROUND(0.949-0.014*B116,4)</f>
        <v>#DIV/0!</v>
      </c>
      <c r="E118" s="3382" t="e">
        <f>D118</f>
        <v>#DIV/0!</v>
      </c>
      <c r="F118" s="3382" t="e">
        <f>E118</f>
        <v>#DIV/0!</v>
      </c>
      <c r="G118" s="3382" t="e">
        <f>F118</f>
        <v>#DIV/0!</v>
      </c>
      <c r="H118" s="3382" t="e">
        <f>G118</f>
        <v>#DIV/0!</v>
      </c>
      <c r="I118" s="3382" t="e">
        <f>ROUND(0.8486-0.018*B116,4)</f>
        <v>#DIV/0!</v>
      </c>
      <c r="J118" s="3382" t="e">
        <f t="shared" ref="J118:M122" si="35">I118</f>
        <v>#DIV/0!</v>
      </c>
      <c r="K118" s="3382" t="e">
        <f t="shared" si="35"/>
        <v>#DIV/0!</v>
      </c>
      <c r="L118" s="3382" t="e">
        <f t="shared" si="35"/>
        <v>#DIV/0!</v>
      </c>
      <c r="M118" s="3405" t="e">
        <f t="shared" si="35"/>
        <v>#DIV/0!</v>
      </c>
      <c r="N118" s="3392"/>
    </row>
    <row r="119" spans="1:14">
      <c r="A119" s="3404" t="s">
        <v>3330</v>
      </c>
      <c r="B119" s="3382" t="e">
        <f>ROUND(0.993-0.0112*B116,4)</f>
        <v>#DIV/0!</v>
      </c>
      <c r="C119" s="3382" t="e">
        <f>B119</f>
        <v>#DIV/0!</v>
      </c>
      <c r="D119" s="3382" t="e">
        <f>ROUND(0.9415-0.0142*B116,4)</f>
        <v>#DIV/0!</v>
      </c>
      <c r="E119" s="3382" t="e">
        <f t="shared" ref="E119:H120" si="36">D119</f>
        <v>#DIV/0!</v>
      </c>
      <c r="F119" s="3382" t="e">
        <f t="shared" si="36"/>
        <v>#DIV/0!</v>
      </c>
      <c r="G119" s="3382" t="e">
        <f t="shared" si="36"/>
        <v>#DIV/0!</v>
      </c>
      <c r="H119" s="3382" t="e">
        <f t="shared" si="36"/>
        <v>#DIV/0!</v>
      </c>
      <c r="I119" s="3382" t="e">
        <f>ROUND(0.838-0.0182*B116,4)</f>
        <v>#DIV/0!</v>
      </c>
      <c r="J119" s="3382" t="e">
        <f t="shared" si="35"/>
        <v>#DIV/0!</v>
      </c>
      <c r="K119" s="3382" t="e">
        <f t="shared" si="35"/>
        <v>#DIV/0!</v>
      </c>
      <c r="L119" s="3382" t="e">
        <f t="shared" si="35"/>
        <v>#DIV/0!</v>
      </c>
      <c r="M119" s="3405" t="e">
        <f t="shared" si="35"/>
        <v>#DIV/0!</v>
      </c>
      <c r="N119" s="3392"/>
    </row>
    <row r="120" spans="1:14">
      <c r="A120" s="3404" t="s">
        <v>3331</v>
      </c>
      <c r="B120" s="3382" t="e">
        <f>ROUND(0.9448-0.0115*B116,4)</f>
        <v>#DIV/0!</v>
      </c>
      <c r="C120" s="3382" t="e">
        <f>B120</f>
        <v>#DIV/0!</v>
      </c>
      <c r="D120" s="3382" t="e">
        <f>ROUND(0.937-0.0145*B116,4)</f>
        <v>#DIV/0!</v>
      </c>
      <c r="E120" s="3382" t="e">
        <f t="shared" si="36"/>
        <v>#DIV/0!</v>
      </c>
      <c r="F120" s="3382" t="e">
        <f t="shared" si="36"/>
        <v>#DIV/0!</v>
      </c>
      <c r="G120" s="3382" t="e">
        <f t="shared" si="36"/>
        <v>#DIV/0!</v>
      </c>
      <c r="H120" s="3382" t="e">
        <f t="shared" si="36"/>
        <v>#DIV/0!</v>
      </c>
      <c r="I120" s="3382" t="e">
        <f>ROUND(0.7965-0.0185*B116,4)</f>
        <v>#DIV/0!</v>
      </c>
      <c r="J120" s="3382" t="e">
        <f t="shared" si="35"/>
        <v>#DIV/0!</v>
      </c>
      <c r="K120" s="3382" t="e">
        <f t="shared" si="35"/>
        <v>#DIV/0!</v>
      </c>
      <c r="L120" s="3382" t="e">
        <f t="shared" si="35"/>
        <v>#DIV/0!</v>
      </c>
      <c r="M120" s="3405" t="e">
        <f t="shared" si="35"/>
        <v>#DIV/0!</v>
      </c>
      <c r="N120" s="3392"/>
    </row>
    <row r="121" spans="1:14" ht="13.5" thickBot="1">
      <c r="A121" s="3406" t="s">
        <v>3332</v>
      </c>
      <c r="B121" s="3407" t="e">
        <f>ROUND(0.7836-0.012*B116,4)</f>
        <v>#DIV/0!</v>
      </c>
      <c r="C121" s="3407" t="e">
        <f>B121</f>
        <v>#DIV/0!</v>
      </c>
      <c r="D121" s="3407" t="e">
        <f>ROUND(0.753-0.015*B116,4)</f>
        <v>#DIV/0!</v>
      </c>
      <c r="E121" s="3407" t="e">
        <f>D121</f>
        <v>#DIV/0!</v>
      </c>
      <c r="F121" s="3407" t="e">
        <f>E121</f>
        <v>#DIV/0!</v>
      </c>
      <c r="G121" s="3407" t="e">
        <f>ROUND(0.6612-0.018*B116,4)</f>
        <v>#DIV/0!</v>
      </c>
      <c r="H121" s="3407" t="e">
        <f>G121</f>
        <v>#DIV/0!</v>
      </c>
      <c r="I121" s="3407" t="e">
        <f>ROUND(0.5905-0.019*B116,4)</f>
        <v>#DIV/0!</v>
      </c>
      <c r="J121" s="3407" t="e">
        <f t="shared" si="35"/>
        <v>#DIV/0!</v>
      </c>
      <c r="K121" s="3407" t="e">
        <f t="shared" si="35"/>
        <v>#DIV/0!</v>
      </c>
      <c r="L121" s="3407" t="e">
        <f t="shared" si="35"/>
        <v>#DIV/0!</v>
      </c>
      <c r="M121" s="3408" t="e">
        <f t="shared" si="35"/>
        <v>#DIV/0!</v>
      </c>
      <c r="N121" s="3392"/>
    </row>
    <row r="122" spans="1:14">
      <c r="A122" s="3409" t="s">
        <v>2609</v>
      </c>
      <c r="B122" s="3382" t="e">
        <f>ROUND(0.9404-0.0106*B116,4)</f>
        <v>#DIV/0!</v>
      </c>
      <c r="C122" s="3382" t="e">
        <f>B122</f>
        <v>#DIV/0!</v>
      </c>
      <c r="D122" s="3382" t="e">
        <f>ROUND(0.8955-0.0135*B116,4)</f>
        <v>#DIV/0!</v>
      </c>
      <c r="E122" s="3382" t="e">
        <f t="shared" ref="E122:H122" si="37">D122</f>
        <v>#DIV/0!</v>
      </c>
      <c r="F122" s="3382" t="e">
        <f t="shared" si="37"/>
        <v>#DIV/0!</v>
      </c>
      <c r="G122" s="3382" t="e">
        <f t="shared" si="37"/>
        <v>#DIV/0!</v>
      </c>
      <c r="H122" s="3382" t="e">
        <f t="shared" si="37"/>
        <v>#DIV/0!</v>
      </c>
      <c r="I122" s="3382" t="e">
        <f>ROUND(0.7632-0.0166*B116,4)</f>
        <v>#DIV/0!</v>
      </c>
      <c r="J122" s="3382" t="e">
        <f t="shared" si="35"/>
        <v>#DIV/0!</v>
      </c>
      <c r="K122" s="3382" t="e">
        <f t="shared" si="35"/>
        <v>#DIV/0!</v>
      </c>
      <c r="L122" s="3382" t="e">
        <f t="shared" si="35"/>
        <v>#DIV/0!</v>
      </c>
      <c r="M122" s="3405" t="e">
        <f t="shared" si="35"/>
        <v>#DIV/0!</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
  <sheetViews>
    <sheetView workbookViewId="0">
      <selection activeCell="E4" sqref="E4"/>
    </sheetView>
  </sheetViews>
  <sheetFormatPr defaultRowHeight="13.5"/>
  <sheetData>
    <row r="1" spans="2:5">
      <c r="B1" s="3451" t="s">
        <v>3639</v>
      </c>
      <c r="C1" s="3451" t="s">
        <v>3643</v>
      </c>
      <c r="D1" s="3451" t="s">
        <v>3644</v>
      </c>
      <c r="E1" s="3451" t="s">
        <v>3645</v>
      </c>
    </row>
    <row r="2" spans="2:5">
      <c r="B2" s="3451" t="s">
        <v>3640</v>
      </c>
      <c r="C2">
        <v>299</v>
      </c>
      <c r="D2">
        <v>82.75</v>
      </c>
      <c r="E2">
        <f>ROUND(C2*10000/D2,0)</f>
        <v>36133</v>
      </c>
    </row>
    <row r="3" spans="2:5">
      <c r="B3" s="3451" t="s">
        <v>3641</v>
      </c>
      <c r="C3">
        <v>210</v>
      </c>
      <c r="D3">
        <v>60.89</v>
      </c>
      <c r="E3">
        <f>ROUND(C3*10000/D3,0)</f>
        <v>34488</v>
      </c>
    </row>
    <row r="4" spans="2:5">
      <c r="B4" s="3451" t="s">
        <v>3642</v>
      </c>
      <c r="C4">
        <v>680</v>
      </c>
      <c r="D4">
        <v>205.78</v>
      </c>
      <c r="E4">
        <f>ROUND(C4*10000/D4,0)</f>
        <v>33045</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34:W42"/>
  <sheetViews>
    <sheetView topLeftCell="A37" workbookViewId="0">
      <selection activeCell="W36" sqref="W36"/>
    </sheetView>
  </sheetViews>
  <sheetFormatPr defaultColWidth="9" defaultRowHeight="13.5"/>
  <cols>
    <col min="1" max="20" width="9" style="3474"/>
    <col min="21" max="21" width="12.75" style="3474" bestFit="1" customWidth="1"/>
    <col min="22" max="16384" width="9" style="3474"/>
  </cols>
  <sheetData>
    <row r="34" spans="21:23">
      <c r="V34" s="3474">
        <v>490</v>
      </c>
      <c r="W34" s="3474">
        <v>28</v>
      </c>
    </row>
    <row r="35" spans="21:23">
      <c r="U35" s="3474">
        <v>8</v>
      </c>
      <c r="V35" s="3474">
        <f>V34*10000/73.95</f>
        <v>66260.987153482085</v>
      </c>
      <c r="W35" s="3474">
        <f>W34*10000/73.95/365</f>
        <v>10.373540063167448</v>
      </c>
    </row>
    <row r="42" spans="21:23">
      <c r="U42" s="3474">
        <v>13811242765</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9"/>
  <sheetViews>
    <sheetView workbookViewId="0">
      <selection activeCell="CB14" sqref="CB14"/>
    </sheetView>
  </sheetViews>
  <sheetFormatPr defaultRowHeight="13.5"/>
  <cols>
    <col min="1" max="1" width="15.5" customWidth="1"/>
    <col min="4" max="4" width="0" hidden="1" customWidth="1"/>
    <col min="5" max="5" width="11.375" hidden="1" customWidth="1"/>
    <col min="6" max="6" width="14.375" hidden="1" customWidth="1"/>
    <col min="7" max="35" width="0" hidden="1" customWidth="1"/>
    <col min="39" max="41" width="0" hidden="1" customWidth="1"/>
    <col min="43" max="46" width="0" hidden="1" customWidth="1"/>
    <col min="50" max="54" width="0" hidden="1" customWidth="1"/>
    <col min="55" max="55" width="10.5" bestFit="1" customWidth="1"/>
    <col min="56" max="56" width="11.625" bestFit="1" customWidth="1"/>
    <col min="57" max="58" width="0" hidden="1" customWidth="1"/>
    <col min="61" max="61" width="0" hidden="1" customWidth="1"/>
    <col min="63" max="63" width="10.5" bestFit="1" customWidth="1"/>
    <col min="65" max="75" width="0" hidden="1" customWidth="1"/>
  </cols>
  <sheetData>
    <row r="1" spans="1:76">
      <c r="A1" s="3451" t="s">
        <v>3434</v>
      </c>
      <c r="B1" s="3451" t="s">
        <v>3435</v>
      </c>
      <c r="C1" s="3451"/>
      <c r="D1" s="3451" t="s">
        <v>3436</v>
      </c>
      <c r="E1" s="3451" t="s">
        <v>3437</v>
      </c>
      <c r="F1" s="3451" t="s">
        <v>3438</v>
      </c>
      <c r="G1" s="3451" t="s">
        <v>3439</v>
      </c>
      <c r="H1" s="3452" t="s">
        <v>3440</v>
      </c>
      <c r="I1" s="3451" t="s">
        <v>3441</v>
      </c>
      <c r="J1" s="3451" t="s">
        <v>672</v>
      </c>
      <c r="L1" s="3451" t="s">
        <v>3442</v>
      </c>
      <c r="M1" s="3451"/>
      <c r="N1" s="3451" t="s">
        <v>3443</v>
      </c>
      <c r="O1" s="3451"/>
      <c r="P1" t="s">
        <v>3444</v>
      </c>
      <c r="T1" t="s">
        <v>3445</v>
      </c>
      <c r="Y1" t="s">
        <v>3446</v>
      </c>
      <c r="AA1" t="s">
        <v>3447</v>
      </c>
      <c r="AC1" t="s">
        <v>3448</v>
      </c>
      <c r="AE1" t="s">
        <v>3449</v>
      </c>
      <c r="AG1" t="s">
        <v>3450</v>
      </c>
      <c r="AI1" t="s">
        <v>3451</v>
      </c>
      <c r="AJ1" t="s">
        <v>3452</v>
      </c>
      <c r="AL1" t="s">
        <v>3453</v>
      </c>
      <c r="AN1" t="s">
        <v>3454</v>
      </c>
      <c r="AP1" t="s">
        <v>3455</v>
      </c>
      <c r="AU1" t="s">
        <v>3456</v>
      </c>
      <c r="AV1" t="s">
        <v>3457</v>
      </c>
      <c r="AW1" t="s">
        <v>3458</v>
      </c>
      <c r="AY1" t="s">
        <v>3459</v>
      </c>
      <c r="AZ1" t="s">
        <v>3460</v>
      </c>
      <c r="BA1" t="s">
        <v>3461</v>
      </c>
      <c r="BB1" t="s">
        <v>3462</v>
      </c>
      <c r="BC1" t="s">
        <v>3463</v>
      </c>
      <c r="BF1" t="s">
        <v>3464</v>
      </c>
      <c r="BG1" t="s">
        <v>3465</v>
      </c>
      <c r="BI1" t="s">
        <v>3466</v>
      </c>
      <c r="BJ1" t="s">
        <v>3467</v>
      </c>
      <c r="BL1" t="s">
        <v>3468</v>
      </c>
      <c r="BN1" t="s">
        <v>3469</v>
      </c>
      <c r="BS1" t="s">
        <v>3470</v>
      </c>
      <c r="BT1" t="s">
        <v>3471</v>
      </c>
      <c r="BU1" t="s">
        <v>3472</v>
      </c>
      <c r="BV1" t="s">
        <v>3473</v>
      </c>
      <c r="BW1" t="s">
        <v>3474</v>
      </c>
    </row>
    <row r="2" spans="1:76">
      <c r="A2" s="3451"/>
      <c r="B2" t="s">
        <v>3475</v>
      </c>
      <c r="C2" t="s">
        <v>3476</v>
      </c>
      <c r="E2" s="3453"/>
      <c r="F2" s="3453"/>
      <c r="G2" s="3452"/>
      <c r="H2" s="3454"/>
      <c r="J2" t="s">
        <v>3477</v>
      </c>
      <c r="K2" t="s">
        <v>3478</v>
      </c>
      <c r="L2" s="3451" t="s">
        <v>3479</v>
      </c>
      <c r="M2" t="s">
        <v>3480</v>
      </c>
      <c r="N2" t="s">
        <v>3481</v>
      </c>
      <c r="O2" t="s">
        <v>3482</v>
      </c>
      <c r="P2" t="s">
        <v>3483</v>
      </c>
      <c r="Q2" t="s">
        <v>3484</v>
      </c>
      <c r="R2" t="s">
        <v>3485</v>
      </c>
      <c r="S2" t="s">
        <v>3486</v>
      </c>
      <c r="T2" t="s">
        <v>3487</v>
      </c>
      <c r="U2" t="s">
        <v>3488</v>
      </c>
      <c r="V2" t="s">
        <v>3489</v>
      </c>
      <c r="W2" t="s">
        <v>3490</v>
      </c>
      <c r="X2" t="s">
        <v>3491</v>
      </c>
      <c r="Y2" t="s">
        <v>3492</v>
      </c>
      <c r="Z2" t="s">
        <v>3493</v>
      </c>
      <c r="AA2" t="s">
        <v>3494</v>
      </c>
      <c r="AB2" t="s">
        <v>3495</v>
      </c>
      <c r="AC2" t="s">
        <v>3496</v>
      </c>
      <c r="AD2" t="s">
        <v>3497</v>
      </c>
      <c r="AE2" t="s">
        <v>3494</v>
      </c>
      <c r="AF2" t="s">
        <v>3495</v>
      </c>
      <c r="AG2" t="s">
        <v>3498</v>
      </c>
      <c r="AH2" t="s">
        <v>3499</v>
      </c>
      <c r="AJ2" t="s">
        <v>3500</v>
      </c>
      <c r="AK2" t="s">
        <v>3501</v>
      </c>
      <c r="AL2" t="s">
        <v>3502</v>
      </c>
      <c r="AM2" t="s">
        <v>3503</v>
      </c>
      <c r="AN2" t="s">
        <v>3504</v>
      </c>
      <c r="AO2" t="s">
        <v>3495</v>
      </c>
      <c r="AP2" t="s">
        <v>3505</v>
      </c>
      <c r="AQ2" t="s">
        <v>3506</v>
      </c>
      <c r="AR2" t="s">
        <v>3507</v>
      </c>
      <c r="AS2" t="s">
        <v>3508</v>
      </c>
      <c r="AT2" t="s">
        <v>3509</v>
      </c>
      <c r="AW2" t="s">
        <v>3510</v>
      </c>
      <c r="AX2" t="s">
        <v>3511</v>
      </c>
      <c r="BC2" t="s">
        <v>3512</v>
      </c>
      <c r="BD2" t="s">
        <v>3513</v>
      </c>
      <c r="BE2" t="s">
        <v>3514</v>
      </c>
      <c r="BG2" t="s">
        <v>3515</v>
      </c>
      <c r="BH2" t="s">
        <v>3516</v>
      </c>
      <c r="BJ2" t="s">
        <v>3517</v>
      </c>
      <c r="BK2" t="s">
        <v>3518</v>
      </c>
      <c r="BL2" t="s">
        <v>3519</v>
      </c>
      <c r="BM2" t="s">
        <v>3520</v>
      </c>
      <c r="BN2" t="s">
        <v>3521</v>
      </c>
      <c r="BO2" t="s">
        <v>3459</v>
      </c>
      <c r="BP2" t="s">
        <v>3460</v>
      </c>
      <c r="BQ2" t="s">
        <v>3461</v>
      </c>
      <c r="BR2" t="s">
        <v>3522</v>
      </c>
    </row>
    <row r="3" spans="1:76">
      <c r="A3" t="s">
        <v>3523</v>
      </c>
      <c r="B3" t="s">
        <v>3524</v>
      </c>
      <c r="C3" t="s">
        <v>3525</v>
      </c>
      <c r="D3" t="s">
        <v>3374</v>
      </c>
      <c r="E3" t="s">
        <v>3374</v>
      </c>
      <c r="F3" t="s">
        <v>3526</v>
      </c>
      <c r="G3" t="s">
        <v>3527</v>
      </c>
      <c r="H3" t="s">
        <v>3528</v>
      </c>
      <c r="I3" t="s">
        <v>3529</v>
      </c>
      <c r="J3" t="s">
        <v>673</v>
      </c>
      <c r="K3" t="s">
        <v>3432</v>
      </c>
      <c r="L3" t="s">
        <v>3530</v>
      </c>
      <c r="M3" t="s">
        <v>3530</v>
      </c>
      <c r="N3" t="s">
        <v>3531</v>
      </c>
      <c r="P3">
        <v>3</v>
      </c>
      <c r="Q3" t="s">
        <v>3532</v>
      </c>
      <c r="R3">
        <v>3</v>
      </c>
      <c r="S3" t="s">
        <v>3533</v>
      </c>
      <c r="T3" t="s">
        <v>3534</v>
      </c>
      <c r="U3">
        <v>25</v>
      </c>
      <c r="V3">
        <v>23.89</v>
      </c>
      <c r="W3" t="s">
        <v>3535</v>
      </c>
      <c r="X3" t="s">
        <v>3535</v>
      </c>
      <c r="Y3">
        <v>3</v>
      </c>
      <c r="Z3" t="s">
        <v>3535</v>
      </c>
      <c r="AA3" t="s">
        <v>3535</v>
      </c>
      <c r="AB3">
        <v>1995</v>
      </c>
      <c r="AE3">
        <v>52318</v>
      </c>
      <c r="AJ3" t="s">
        <v>3536</v>
      </c>
      <c r="AK3" t="s">
        <v>3537</v>
      </c>
      <c r="AL3" t="s">
        <v>3538</v>
      </c>
      <c r="AP3">
        <v>1685.0099999999998</v>
      </c>
      <c r="AQ3">
        <v>1685.0099999999998</v>
      </c>
      <c r="AR3">
        <v>1685.0099999999998</v>
      </c>
      <c r="AS3">
        <v>1</v>
      </c>
      <c r="AU3" t="s">
        <v>3539</v>
      </c>
      <c r="AV3">
        <v>250000</v>
      </c>
      <c r="AW3">
        <v>4.7</v>
      </c>
      <c r="AX3">
        <v>4.4800000000000004</v>
      </c>
      <c r="AY3">
        <v>0.05</v>
      </c>
      <c r="AZ3">
        <v>0</v>
      </c>
      <c r="BA3">
        <v>0</v>
      </c>
      <c r="BC3" s="3453">
        <v>44311</v>
      </c>
      <c r="BD3" s="3453">
        <v>48861</v>
      </c>
      <c r="BE3" t="s">
        <v>3540</v>
      </c>
      <c r="BF3" t="s">
        <v>3541</v>
      </c>
      <c r="BG3" t="s">
        <v>3542</v>
      </c>
      <c r="BH3">
        <v>1.2999999999999999E-2</v>
      </c>
      <c r="BJ3" t="s">
        <v>3543</v>
      </c>
      <c r="BK3" s="3453">
        <v>44310</v>
      </c>
      <c r="BL3" t="s">
        <v>3544</v>
      </c>
    </row>
    <row r="4" spans="1:76">
      <c r="A4" t="s">
        <v>3523</v>
      </c>
      <c r="B4" t="s">
        <v>3545</v>
      </c>
      <c r="C4" t="s">
        <v>3546</v>
      </c>
      <c r="D4" t="s">
        <v>3374</v>
      </c>
      <c r="E4" t="s">
        <v>3374</v>
      </c>
      <c r="F4" t="s">
        <v>3526</v>
      </c>
      <c r="G4" t="s">
        <v>3527</v>
      </c>
      <c r="H4" t="s">
        <v>3528</v>
      </c>
      <c r="I4" t="s">
        <v>3529</v>
      </c>
      <c r="J4" t="s">
        <v>673</v>
      </c>
      <c r="K4" t="s">
        <v>673</v>
      </c>
      <c r="L4" t="s">
        <v>3530</v>
      </c>
      <c r="M4" t="s">
        <v>3530</v>
      </c>
      <c r="N4" t="s">
        <v>3531</v>
      </c>
      <c r="P4">
        <v>3</v>
      </c>
      <c r="Q4" t="s">
        <v>3532</v>
      </c>
      <c r="R4">
        <v>1</v>
      </c>
      <c r="S4" t="s">
        <v>3547</v>
      </c>
      <c r="T4" t="s">
        <v>3548</v>
      </c>
      <c r="U4">
        <v>11</v>
      </c>
      <c r="V4">
        <v>23.89</v>
      </c>
      <c r="W4" t="s">
        <v>3535</v>
      </c>
      <c r="X4" t="s">
        <v>3535</v>
      </c>
      <c r="Y4">
        <v>3</v>
      </c>
      <c r="Z4" t="s">
        <v>3535</v>
      </c>
      <c r="AA4" t="s">
        <v>3535</v>
      </c>
      <c r="AB4">
        <v>1995</v>
      </c>
      <c r="AE4">
        <v>52318</v>
      </c>
      <c r="AJ4" t="s">
        <v>3549</v>
      </c>
      <c r="AK4" t="s">
        <v>3550</v>
      </c>
      <c r="AL4" t="s">
        <v>3551</v>
      </c>
      <c r="AP4">
        <v>330</v>
      </c>
      <c r="AQ4">
        <v>330</v>
      </c>
      <c r="AR4">
        <v>330</v>
      </c>
      <c r="AS4">
        <v>1</v>
      </c>
      <c r="AU4" t="s">
        <v>3539</v>
      </c>
      <c r="AV4">
        <v>200000</v>
      </c>
      <c r="AW4">
        <v>10</v>
      </c>
      <c r="AX4">
        <v>9.52</v>
      </c>
      <c r="AY4">
        <v>0.05</v>
      </c>
      <c r="AZ4">
        <v>0</v>
      </c>
      <c r="BA4">
        <v>0</v>
      </c>
      <c r="BC4" s="3453">
        <v>44383</v>
      </c>
      <c r="BD4" s="3453">
        <v>46315</v>
      </c>
      <c r="BE4" t="s">
        <v>3552</v>
      </c>
      <c r="BF4" t="s">
        <v>3553</v>
      </c>
      <c r="BG4" t="s">
        <v>3554</v>
      </c>
      <c r="BH4">
        <v>0.02</v>
      </c>
      <c r="BJ4" t="s">
        <v>3543</v>
      </c>
      <c r="BK4" s="3453">
        <v>44384</v>
      </c>
      <c r="BL4" t="s">
        <v>3544</v>
      </c>
    </row>
    <row r="5" spans="1:76">
      <c r="A5" t="s">
        <v>3523</v>
      </c>
      <c r="B5" t="s">
        <v>3545</v>
      </c>
      <c r="C5" t="s">
        <v>3546</v>
      </c>
      <c r="D5" t="s">
        <v>3374</v>
      </c>
      <c r="E5" t="s">
        <v>3374</v>
      </c>
      <c r="F5" t="s">
        <v>3526</v>
      </c>
      <c r="G5" t="s">
        <v>3527</v>
      </c>
      <c r="H5" t="s">
        <v>3528</v>
      </c>
      <c r="I5" t="s">
        <v>3529</v>
      </c>
      <c r="J5" s="3451" t="s">
        <v>673</v>
      </c>
      <c r="K5" s="3451" t="s">
        <v>673</v>
      </c>
      <c r="L5" s="3451" t="s">
        <v>3530</v>
      </c>
      <c r="M5" t="s">
        <v>3530</v>
      </c>
      <c r="N5" t="s">
        <v>3531</v>
      </c>
      <c r="P5">
        <v>3</v>
      </c>
      <c r="Q5" t="s">
        <v>3532</v>
      </c>
      <c r="R5">
        <v>1</v>
      </c>
      <c r="S5" t="s">
        <v>3547</v>
      </c>
      <c r="T5" t="s">
        <v>3548</v>
      </c>
      <c r="U5">
        <v>4</v>
      </c>
      <c r="V5">
        <v>5</v>
      </c>
      <c r="W5" t="s">
        <v>3535</v>
      </c>
      <c r="X5" t="s">
        <v>3535</v>
      </c>
      <c r="Y5">
        <v>3</v>
      </c>
      <c r="Z5" t="s">
        <v>3535</v>
      </c>
      <c r="AA5" t="s">
        <v>3535</v>
      </c>
      <c r="AB5">
        <v>1995</v>
      </c>
      <c r="AE5">
        <v>52318</v>
      </c>
      <c r="AJ5" t="s">
        <v>3555</v>
      </c>
      <c r="AK5" t="s">
        <v>3433</v>
      </c>
      <c r="AL5" t="s">
        <v>3556</v>
      </c>
      <c r="AP5">
        <v>20</v>
      </c>
      <c r="AQ5">
        <v>20</v>
      </c>
      <c r="AR5">
        <v>20</v>
      </c>
      <c r="AS5">
        <v>1</v>
      </c>
      <c r="AU5" t="s">
        <v>3539</v>
      </c>
      <c r="AV5">
        <v>20833</v>
      </c>
      <c r="AW5">
        <v>34.200000000000003</v>
      </c>
      <c r="AX5">
        <v>32.57</v>
      </c>
      <c r="AY5">
        <v>0.05</v>
      </c>
      <c r="AZ5">
        <v>0</v>
      </c>
      <c r="BA5">
        <v>0</v>
      </c>
      <c r="BC5" s="3453">
        <v>44722</v>
      </c>
      <c r="BD5" s="3453">
        <v>45878</v>
      </c>
      <c r="BE5" t="s">
        <v>3557</v>
      </c>
      <c r="BF5" t="s">
        <v>3558</v>
      </c>
      <c r="BG5" t="s">
        <v>3559</v>
      </c>
      <c r="BH5" t="s">
        <v>3559</v>
      </c>
      <c r="BJ5" t="s">
        <v>3543</v>
      </c>
      <c r="BK5" s="3453">
        <v>44721</v>
      </c>
      <c r="BL5" t="s">
        <v>3544</v>
      </c>
    </row>
    <row r="6" spans="1:76">
      <c r="A6" t="s">
        <v>3523</v>
      </c>
      <c r="B6" t="s">
        <v>3545</v>
      </c>
      <c r="C6" t="s">
        <v>3546</v>
      </c>
      <c r="D6" t="s">
        <v>3374</v>
      </c>
      <c r="E6" t="s">
        <v>3374</v>
      </c>
      <c r="F6" t="s">
        <v>3526</v>
      </c>
      <c r="G6" t="s">
        <v>3527</v>
      </c>
      <c r="H6" t="s">
        <v>3528</v>
      </c>
      <c r="I6" t="s">
        <v>3529</v>
      </c>
      <c r="J6" t="s">
        <v>673</v>
      </c>
      <c r="K6" t="s">
        <v>673</v>
      </c>
      <c r="L6" t="s">
        <v>3530</v>
      </c>
      <c r="M6" t="s">
        <v>3530</v>
      </c>
      <c r="N6" t="s">
        <v>3531</v>
      </c>
      <c r="P6">
        <v>3</v>
      </c>
      <c r="Q6" t="s">
        <v>3532</v>
      </c>
      <c r="R6">
        <v>1</v>
      </c>
      <c r="S6" t="s">
        <v>3547</v>
      </c>
      <c r="T6" t="s">
        <v>3548</v>
      </c>
      <c r="U6">
        <v>4</v>
      </c>
      <c r="V6">
        <v>5</v>
      </c>
      <c r="W6" t="s">
        <v>3535</v>
      </c>
      <c r="X6" t="s">
        <v>3535</v>
      </c>
      <c r="Y6">
        <v>3</v>
      </c>
      <c r="Z6" t="s">
        <v>3535</v>
      </c>
      <c r="AA6" t="s">
        <v>3535</v>
      </c>
      <c r="AB6">
        <v>1995</v>
      </c>
      <c r="AE6">
        <v>52318</v>
      </c>
      <c r="AJ6" t="s">
        <v>3560</v>
      </c>
      <c r="AK6" t="s">
        <v>3561</v>
      </c>
      <c r="AL6" t="s">
        <v>3556</v>
      </c>
      <c r="AP6">
        <v>20</v>
      </c>
      <c r="AQ6">
        <v>20</v>
      </c>
      <c r="AR6">
        <v>20</v>
      </c>
      <c r="AS6">
        <v>1</v>
      </c>
      <c r="AU6" t="s">
        <v>3539</v>
      </c>
      <c r="AV6">
        <v>10000</v>
      </c>
      <c r="AW6">
        <v>34.200000000000003</v>
      </c>
      <c r="AX6">
        <v>32.57</v>
      </c>
      <c r="AY6">
        <v>0.05</v>
      </c>
      <c r="AZ6">
        <v>0</v>
      </c>
      <c r="BA6">
        <v>0</v>
      </c>
      <c r="BC6" s="3453">
        <v>44531</v>
      </c>
      <c r="BD6" s="3453">
        <v>45280</v>
      </c>
      <c r="BE6" t="s">
        <v>3562</v>
      </c>
      <c r="BG6" t="s">
        <v>3559</v>
      </c>
      <c r="BH6" t="s">
        <v>3559</v>
      </c>
      <c r="BJ6" t="s">
        <v>3543</v>
      </c>
      <c r="BK6" s="3453">
        <v>44531</v>
      </c>
      <c r="BL6" t="s">
        <v>3544</v>
      </c>
    </row>
    <row r="7" spans="1:76">
      <c r="A7" t="s">
        <v>3614</v>
      </c>
      <c r="B7" t="s">
        <v>3621</v>
      </c>
      <c r="C7" t="s">
        <v>3621</v>
      </c>
      <c r="D7" t="s">
        <v>3374</v>
      </c>
      <c r="E7" t="s">
        <v>3374</v>
      </c>
      <c r="F7" t="s">
        <v>3526</v>
      </c>
      <c r="G7" t="s">
        <v>3527</v>
      </c>
      <c r="H7" t="s">
        <v>3528</v>
      </c>
      <c r="I7" t="s">
        <v>3529</v>
      </c>
      <c r="J7" t="s">
        <v>673</v>
      </c>
      <c r="K7" t="s">
        <v>673</v>
      </c>
      <c r="L7" t="s">
        <v>3622</v>
      </c>
      <c r="M7" t="s">
        <v>3530</v>
      </c>
      <c r="N7" t="s">
        <v>3531</v>
      </c>
      <c r="P7" t="s">
        <v>3559</v>
      </c>
      <c r="Q7" t="s">
        <v>3559</v>
      </c>
      <c r="R7">
        <v>1</v>
      </c>
      <c r="S7" t="s">
        <v>3547</v>
      </c>
      <c r="T7" t="s">
        <v>3548</v>
      </c>
      <c r="U7">
        <v>10</v>
      </c>
      <c r="V7">
        <v>10</v>
      </c>
      <c r="W7" t="s">
        <v>3535</v>
      </c>
      <c r="X7" t="s">
        <v>3535</v>
      </c>
      <c r="Y7">
        <v>3</v>
      </c>
      <c r="Z7" t="s">
        <v>3535</v>
      </c>
      <c r="AA7" t="s">
        <v>3535</v>
      </c>
      <c r="AB7">
        <v>2008</v>
      </c>
      <c r="AE7" t="s">
        <v>3559</v>
      </c>
      <c r="AJ7" t="s">
        <v>3559</v>
      </c>
      <c r="AK7" t="s">
        <v>3559</v>
      </c>
      <c r="AL7" t="s">
        <v>3623</v>
      </c>
      <c r="AP7">
        <v>100</v>
      </c>
      <c r="AQ7">
        <v>100</v>
      </c>
      <c r="AR7">
        <v>100</v>
      </c>
      <c r="AS7">
        <v>1</v>
      </c>
      <c r="AU7" t="s">
        <v>3624</v>
      </c>
      <c r="AV7" t="s">
        <v>3559</v>
      </c>
      <c r="AW7">
        <v>12.5</v>
      </c>
      <c r="AX7">
        <v>11.9</v>
      </c>
      <c r="AY7">
        <v>0.05</v>
      </c>
      <c r="AZ7">
        <v>0</v>
      </c>
      <c r="BA7">
        <v>0</v>
      </c>
      <c r="BC7" t="s">
        <v>3559</v>
      </c>
      <c r="BD7" t="s">
        <v>3559</v>
      </c>
      <c r="BE7" t="s">
        <v>3625</v>
      </c>
      <c r="BG7" t="s">
        <v>3559</v>
      </c>
      <c r="BH7" t="s">
        <v>3559</v>
      </c>
      <c r="BJ7" t="s">
        <v>3626</v>
      </c>
      <c r="BK7" t="s">
        <v>3559</v>
      </c>
      <c r="BL7" t="s">
        <v>3627</v>
      </c>
    </row>
    <row r="8" spans="1:76">
      <c r="A8" t="s">
        <v>3628</v>
      </c>
      <c r="B8" t="s">
        <v>3629</v>
      </c>
      <c r="C8" t="s">
        <v>3629</v>
      </c>
      <c r="D8" t="s">
        <v>3374</v>
      </c>
      <c r="E8" t="s">
        <v>3374</v>
      </c>
      <c r="F8" t="s">
        <v>3526</v>
      </c>
      <c r="G8" t="s">
        <v>3527</v>
      </c>
      <c r="H8" t="s">
        <v>3528</v>
      </c>
      <c r="I8" t="s">
        <v>3529</v>
      </c>
      <c r="J8" t="s">
        <v>673</v>
      </c>
      <c r="K8" t="s">
        <v>673</v>
      </c>
      <c r="L8" t="s">
        <v>3622</v>
      </c>
      <c r="M8" t="s">
        <v>3530</v>
      </c>
      <c r="N8" t="s">
        <v>3630</v>
      </c>
      <c r="P8" t="s">
        <v>3559</v>
      </c>
      <c r="Q8" t="s">
        <v>3559</v>
      </c>
      <c r="R8">
        <v>1</v>
      </c>
      <c r="S8" t="s">
        <v>3547</v>
      </c>
      <c r="T8" t="s">
        <v>3548</v>
      </c>
      <c r="U8">
        <v>10</v>
      </c>
      <c r="V8">
        <v>12</v>
      </c>
      <c r="W8" t="s">
        <v>3535</v>
      </c>
      <c r="X8" t="s">
        <v>3535</v>
      </c>
      <c r="Y8">
        <v>3</v>
      </c>
      <c r="Z8" t="s">
        <v>3535</v>
      </c>
      <c r="AA8" t="s">
        <v>3535</v>
      </c>
      <c r="AB8">
        <v>2007</v>
      </c>
      <c r="AE8" t="s">
        <v>3559</v>
      </c>
      <c r="AJ8" t="s">
        <v>3559</v>
      </c>
      <c r="AK8" t="s">
        <v>3559</v>
      </c>
      <c r="AL8" t="s">
        <v>3556</v>
      </c>
      <c r="AP8">
        <v>120</v>
      </c>
      <c r="AQ8">
        <v>120</v>
      </c>
      <c r="AR8">
        <v>120</v>
      </c>
      <c r="AS8">
        <v>1</v>
      </c>
      <c r="AU8" t="s">
        <v>3624</v>
      </c>
      <c r="AV8" t="s">
        <v>3559</v>
      </c>
      <c r="AW8">
        <v>11</v>
      </c>
      <c r="AX8">
        <v>10.48</v>
      </c>
      <c r="AY8">
        <v>0.05</v>
      </c>
      <c r="AZ8">
        <v>0</v>
      </c>
      <c r="BA8">
        <v>0</v>
      </c>
      <c r="BC8" t="s">
        <v>3559</v>
      </c>
      <c r="BD8" t="s">
        <v>3559</v>
      </c>
      <c r="BE8" t="s">
        <v>3559</v>
      </c>
      <c r="BG8" t="s">
        <v>3559</v>
      </c>
      <c r="BH8" t="s">
        <v>3559</v>
      </c>
      <c r="BJ8" t="s">
        <v>3626</v>
      </c>
      <c r="BK8" t="s">
        <v>3559</v>
      </c>
      <c r="BL8" t="s">
        <v>3544</v>
      </c>
    </row>
    <row r="10" spans="1:76">
      <c r="A10" s="3451" t="s">
        <v>3618</v>
      </c>
      <c r="B10" s="3451" t="s">
        <v>3563</v>
      </c>
      <c r="C10" s="3451" t="s">
        <v>3565</v>
      </c>
      <c r="AJ10" s="3451" t="s">
        <v>3607</v>
      </c>
      <c r="AK10" s="3451" t="s">
        <v>3605</v>
      </c>
      <c r="AL10" s="3451" t="s">
        <v>3606</v>
      </c>
      <c r="AP10" s="3451" t="s">
        <v>3608</v>
      </c>
      <c r="AU10" s="3451" t="s">
        <v>3609</v>
      </c>
      <c r="AV10" s="3451" t="s">
        <v>3610</v>
      </c>
      <c r="AW10" s="3451" t="s">
        <v>3611</v>
      </c>
    </row>
    <row r="11" spans="1:76">
      <c r="A11">
        <v>330</v>
      </c>
      <c r="B11" s="3451" t="s">
        <v>3564</v>
      </c>
      <c r="C11">
        <f>AW4</f>
        <v>10</v>
      </c>
    </row>
    <row r="12" spans="1:76">
      <c r="A12">
        <v>100</v>
      </c>
      <c r="B12" s="3451" t="s">
        <v>3615</v>
      </c>
      <c r="C12">
        <f>37500/30/100</f>
        <v>12.5</v>
      </c>
      <c r="AK12">
        <v>10</v>
      </c>
      <c r="AL12">
        <v>10</v>
      </c>
      <c r="AW12" s="3451" t="s">
        <v>3616</v>
      </c>
      <c r="BC12" s="3451" t="s">
        <v>3612</v>
      </c>
    </row>
    <row r="13" spans="1:76">
      <c r="A13">
        <v>120</v>
      </c>
      <c r="B13" s="3451" t="s">
        <v>3566</v>
      </c>
      <c r="C13">
        <v>11</v>
      </c>
      <c r="AK13">
        <v>5</v>
      </c>
      <c r="AW13" s="3451" t="s">
        <v>3613</v>
      </c>
    </row>
    <row r="16" spans="1:76">
      <c r="BX16" s="3479">
        <v>1.2200000000000001E-2</v>
      </c>
    </row>
    <row r="17" spans="62:77">
      <c r="BK17">
        <v>1</v>
      </c>
      <c r="BL17">
        <f>1450000*2</f>
        <v>2900000</v>
      </c>
      <c r="BX17">
        <f>BL17*(1+BX16)</f>
        <v>2935380</v>
      </c>
    </row>
    <row r="18" spans="62:77">
      <c r="BK18">
        <v>2</v>
      </c>
      <c r="BL18">
        <f>BL17</f>
        <v>2900000</v>
      </c>
      <c r="BX18">
        <f t="shared" ref="BX18:BX28" si="0">BX17*(1+$BX$16)</f>
        <v>2971191.6359999999</v>
      </c>
    </row>
    <row r="19" spans="62:77">
      <c r="BK19">
        <v>3</v>
      </c>
      <c r="BL19">
        <f>BL18</f>
        <v>2900000</v>
      </c>
      <c r="BX19">
        <f t="shared" si="0"/>
        <v>3007440.1739591998</v>
      </c>
    </row>
    <row r="20" spans="62:77">
      <c r="BK20">
        <v>4</v>
      </c>
      <c r="BL20">
        <f>1522500*2</f>
        <v>3045000</v>
      </c>
      <c r="BX20">
        <f t="shared" si="0"/>
        <v>3044130.944081502</v>
      </c>
    </row>
    <row r="21" spans="62:77">
      <c r="BK21">
        <v>5</v>
      </c>
      <c r="BL21">
        <f>BL20</f>
        <v>3045000</v>
      </c>
      <c r="BX21">
        <f t="shared" si="0"/>
        <v>3081269.3415992963</v>
      </c>
    </row>
    <row r="22" spans="62:77">
      <c r="BK22">
        <v>6</v>
      </c>
      <c r="BL22">
        <f>BL21</f>
        <v>3045000</v>
      </c>
      <c r="BX22">
        <f t="shared" si="0"/>
        <v>3118860.8275668076</v>
      </c>
    </row>
    <row r="23" spans="62:77">
      <c r="BK23">
        <v>7</v>
      </c>
      <c r="BL23">
        <f>1598625*2</f>
        <v>3197250</v>
      </c>
      <c r="BX23">
        <f t="shared" si="0"/>
        <v>3156910.9296631226</v>
      </c>
    </row>
    <row r="24" spans="62:77">
      <c r="BK24">
        <v>8</v>
      </c>
      <c r="BL24">
        <f>BL23</f>
        <v>3197250</v>
      </c>
      <c r="BX24">
        <f t="shared" si="0"/>
        <v>3195425.2430050126</v>
      </c>
    </row>
    <row r="25" spans="62:77">
      <c r="BK25">
        <v>9</v>
      </c>
      <c r="BL25">
        <f>BL24</f>
        <v>3197250</v>
      </c>
      <c r="BX25">
        <f t="shared" si="0"/>
        <v>3234409.4309696737</v>
      </c>
    </row>
    <row r="26" spans="62:77">
      <c r="BK26">
        <v>10</v>
      </c>
      <c r="BL26">
        <f>1678556.25*2</f>
        <v>3357112.5</v>
      </c>
      <c r="BX26">
        <f t="shared" si="0"/>
        <v>3273869.2260275036</v>
      </c>
    </row>
    <row r="27" spans="62:77">
      <c r="BJ27">
        <v>1678556</v>
      </c>
      <c r="BK27">
        <v>11</v>
      </c>
      <c r="BL27">
        <f>BL26</f>
        <v>3357112.5</v>
      </c>
      <c r="BX27">
        <f t="shared" si="0"/>
        <v>3313810.4305850393</v>
      </c>
    </row>
    <row r="28" spans="62:77">
      <c r="BJ28">
        <f>BJ27*2</f>
        <v>3357112</v>
      </c>
      <c r="BK28">
        <v>12</v>
      </c>
      <c r="BL28">
        <f>BL27</f>
        <v>3357112.5</v>
      </c>
      <c r="BX28">
        <f t="shared" si="0"/>
        <v>3354238.9178381767</v>
      </c>
      <c r="BY28">
        <f>BX28-BL28</f>
        <v>-2873.5821618232876</v>
      </c>
    </row>
    <row r="29" spans="62:77">
      <c r="BJ29">
        <f>BJ28/AP3/365</f>
        <v>5.4584644146252383</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30">
      <c r="A4" s="1505" t="str">
        <f>项目基本情况!S2</f>
        <v>北京市朝阳区育慧西里10号楼3层全部房地产</v>
      </c>
      <c r="B4" s="854">
        <f>项目基本情况!C17</f>
        <v>611.12</v>
      </c>
      <c r="C4" s="854">
        <f>项目基本情况!C18</f>
        <v>0</v>
      </c>
      <c r="D4" s="854" t="e">
        <f ca="1">结果表!D118</f>
        <v>#REF!</v>
      </c>
      <c r="E4" s="854" t="e">
        <f ca="1">结果表!E118</f>
        <v>#REF!</v>
      </c>
      <c r="F4" s="854" t="e">
        <f ca="1">结果表!F118</f>
        <v>#REF!</v>
      </c>
      <c r="G4" s="854" t="e">
        <f ca="1">结果表!G118</f>
        <v>#REF!</v>
      </c>
      <c r="H4" s="854">
        <f ca="1">结果表!H118</f>
        <v>1874</v>
      </c>
      <c r="I4" s="854">
        <f ca="1">结果表!I118</f>
        <v>30665</v>
      </c>
    </row>
    <row r="5" spans="1:9" ht="30" customHeight="1">
      <c r="A5" s="3494" t="s">
        <v>927</v>
      </c>
      <c r="B5" s="3494"/>
      <c r="C5" s="3494"/>
      <c r="D5" s="3494" t="e">
        <f ca="1">结果表!D119</f>
        <v>#REF!</v>
      </c>
      <c r="E5" s="3494"/>
      <c r="F5" s="3494" t="e">
        <f ca="1">结果表!F119</f>
        <v>#REF!</v>
      </c>
      <c r="G5" s="3494"/>
      <c r="H5" s="3494" t="str">
        <f ca="1">结果表!H119</f>
        <v>壹仟捌佰柒拾肆万元整</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f ca="1">结果表!D122</f>
        <v>1874</v>
      </c>
      <c r="E8" s="3493"/>
      <c r="F8" s="3493"/>
      <c r="G8" s="3493"/>
      <c r="H8" s="3493"/>
      <c r="I8" s="3493"/>
    </row>
    <row r="9" spans="1:9" ht="15">
      <c r="A9" s="3494" t="s">
        <v>927</v>
      </c>
      <c r="B9" s="3494"/>
      <c r="C9" s="3494"/>
      <c r="D9" s="3494" t="str">
        <f ca="1">结果表!D123</f>
        <v>壹仟捌佰柒拾肆万元整</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5" sqref="Q35"/>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典型户型修正</vt:lpstr>
      <vt:lpstr>比较法-商业 (售价)</vt:lpstr>
      <vt:lpstr>收益法 (元)</vt:lpstr>
      <vt:lpstr>收益法</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案例-办公</vt:lpstr>
      <vt:lpstr>位置及案例</vt:lpstr>
      <vt:lpstr>租约</vt:lpstr>
      <vt:lpstr>参考</vt:lpstr>
      <vt:lpstr>'比较法-办公'!Print_Area</vt:lpstr>
      <vt:lpstr>'比较法-仓储'!Print_Area</vt:lpstr>
      <vt:lpstr>'比较法-车位'!Print_Area</vt:lpstr>
      <vt:lpstr>'比较法-工业'!Print_Area</vt:lpstr>
      <vt:lpstr>'比较法-商业 (售价)'!Print_Area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(售价)'!商业层高</vt:lpstr>
      <vt:lpstr>商业层高</vt:lpstr>
      <vt:lpstr>'比较法-商业 (售价)'!商业成新度</vt:lpstr>
      <vt:lpstr>商业成新度</vt:lpstr>
      <vt:lpstr>商业繁华度</vt:lpstr>
      <vt:lpstr>'比较法-商业 (售价)'!商业公共部分装修</vt:lpstr>
      <vt:lpstr>商业公共部分装修</vt:lpstr>
      <vt:lpstr>'比较法-商业 (售价)'!商业基础设施水平</vt:lpstr>
      <vt:lpstr>商业基础设施水平</vt:lpstr>
      <vt:lpstr>'比较法-商业 (售价)'!商业建筑结构</vt:lpstr>
      <vt:lpstr>商业建筑结构</vt:lpstr>
      <vt:lpstr>'比较法-商业 (售价)'!商业交易情况</vt:lpstr>
      <vt:lpstr>商业交易情况</vt:lpstr>
      <vt:lpstr>商业街名称</vt:lpstr>
      <vt:lpstr>'比较法-商业 (售价)'!商业进深比</vt:lpstr>
      <vt:lpstr>商业进深比</vt:lpstr>
      <vt:lpstr>'比较法-商业 (售价)'!商业类型</vt:lpstr>
      <vt:lpstr>商业类型</vt:lpstr>
      <vt:lpstr>'比较法-商业 (售价)'!商业临街状况</vt:lpstr>
      <vt:lpstr>商业临街状况</vt:lpstr>
      <vt:lpstr>'比较法-商业 (售价)'!商业楼层</vt:lpstr>
      <vt:lpstr>商业楼层</vt:lpstr>
      <vt:lpstr>'比较法-商业 (售价)'!商业内部装修</vt:lpstr>
      <vt:lpstr>商业内部装修</vt:lpstr>
      <vt:lpstr>'比较法-商业 (售价)'!商业人流量</vt:lpstr>
      <vt:lpstr>商业人流量</vt:lpstr>
      <vt:lpstr>'比较法-商业 (售价)'!商业业态</vt:lpstr>
      <vt:lpstr>商业业态</vt:lpstr>
      <vt:lpstr>'比较法-商业 (售价)'!商业用途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2023-03-16T07:13:18Z</dcterms:modified>
</cp:coreProperties>
</file>