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顺义60块地\预评\国际鲜花港\"/>
    </mc:Choice>
  </mc:AlternateContent>
  <bookViews>
    <workbookView xWindow="6225" yWindow="390" windowWidth="14340" windowHeight="10785" tabRatio="875" firstSheet="12"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新增项目" sheetId="73" r:id="rId11"/>
    <sheet name="在施项目" sheetId="72" r:id="rId12"/>
    <sheet name="项目基本情况" sheetId="4" r:id="rId13"/>
    <sheet name="数据-基础表" sheetId="3" r:id="rId14"/>
    <sheet name="数据-汇总表" sheetId="6" r:id="rId15"/>
    <sheet name="数据-取费表" sheetId="1" r:id="rId16"/>
    <sheet name="估价对象房地状况" sheetId="20" state="hidden" r:id="rId17"/>
    <sheet name="结果表" sheetId="9" r:id="rId18"/>
    <sheet name="基准地价-商业" sheetId="75" r:id="rId19"/>
    <sheet name="剩余法-商业" sheetId="12" r:id="rId20"/>
    <sheet name="基准地价-住宅" sheetId="46" state="hidden" r:id="rId21"/>
    <sheet name="剩余法-住宅" sheetId="74" state="hidden" r:id="rId22"/>
    <sheet name="剩余法-现房" sheetId="43" state="hidden" r:id="rId23"/>
    <sheet name="比较法-住宅、综合" sheetId="39"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系统读取表" sheetId="66"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s>
  <definedNames>
    <definedName name="_xlnm._FilterDatabase" localSheetId="24"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12" hidden="1">项目基本情况!$A$48:$N$48</definedName>
    <definedName name="_xlnm._FilterDatabase" localSheetId="11" hidden="1">在施项目!$A$3:$H$65</definedName>
    <definedName name="_xlnm.Print_Area" localSheetId="24">'比较法-工业'!$A$1:$K$62,'比较法-工业'!$A$65:$N$122</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32">'基准地价（汇总）'!$A$1:$F$14</definedName>
    <definedName name="_xlnm.Print_Area" localSheetId="18">'基准地价-商业'!$A$1:$J$44,'基准地价-商业'!$A$47:$N$103,'基准地价-商业'!$R$1:$V$16</definedName>
    <definedName name="_xlnm.Print_Area" localSheetId="20">'基准地价-住宅'!$A$1:$J$44,'基准地价-住宅'!$A$47:$N$103,'基准地价-住宅'!$R$1:$V$16</definedName>
    <definedName name="_xlnm.Print_Area" localSheetId="17">结果表!$A$1:$I$46,结果表!$K$25:$O$44,结果表!$A$62:$I$115,结果表!$K$64:$P$81</definedName>
    <definedName name="_xlnm.Print_Area" localSheetId="19">'剩余法-商业'!$A$1:$K$36</definedName>
    <definedName name="_xlnm.Print_Area" localSheetId="22">'剩余法-现房'!$A$1:$K$27</definedName>
    <definedName name="_xlnm.Print_Area" localSheetId="21">'剩余法-住宅'!$A$1:$K$36</definedName>
    <definedName name="_xlnm.Print_Area" localSheetId="33">收益还原法!$A$1:$F$46,收益还原法!$H$3:$M$31,收益还原法!$I$47:$M$61</definedName>
    <definedName name="_xlnm.Print_Area" localSheetId="14">'数据-汇总表'!$A$1:$P$32</definedName>
    <definedName name="_xlnm.Print_Area" localSheetId="41">系统读取表!$A$1:$J$26</definedName>
    <definedName name="_xlnm.Print_Area" localSheetId="12">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8">'基准地价-商业'!$N$19:$AB$19</definedName>
    <definedName name="季度">'基准地价-住宅'!$N$19:$AB$19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66" l="1"/>
  <c r="A3" i="3" l="1"/>
  <c r="F19" i="6"/>
  <c r="F20" i="6"/>
  <c r="D5" i="9" l="1"/>
  <c r="B55" i="1"/>
  <c r="B56" i="1"/>
  <c r="B57" i="1"/>
  <c r="B58" i="1"/>
  <c r="B59" i="1"/>
  <c r="B54" i="1"/>
  <c r="I17" i="4"/>
  <c r="H17" i="4"/>
  <c r="G17" i="4"/>
  <c r="F17" i="4"/>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c r="D101" i="75"/>
  <c r="B101" i="75"/>
  <c r="N100" i="75"/>
  <c r="M100" i="75"/>
  <c r="K100" i="75"/>
  <c r="J100" i="75" s="1"/>
  <c r="D100" i="75"/>
  <c r="B100" i="75"/>
  <c r="M99" i="75"/>
  <c r="N99" i="75" s="1"/>
  <c r="K99" i="75"/>
  <c r="J99" i="75"/>
  <c r="D99" i="75"/>
  <c r="B99" i="75"/>
  <c r="N98" i="75"/>
  <c r="M98" i="75"/>
  <c r="K98" i="75"/>
  <c r="J98" i="75" s="1"/>
  <c r="D98" i="75"/>
  <c r="N97" i="75"/>
  <c r="M97" i="75"/>
  <c r="K97" i="75"/>
  <c r="J97" i="75" s="1"/>
  <c r="D97" i="75"/>
  <c r="B97" i="75"/>
  <c r="M96" i="75"/>
  <c r="N96" i="75" s="1"/>
  <c r="K96" i="75"/>
  <c r="J96" i="75"/>
  <c r="D96" i="75"/>
  <c r="M95" i="75"/>
  <c r="N95" i="75" s="1"/>
  <c r="K95" i="75"/>
  <c r="J95" i="75"/>
  <c r="D95" i="75"/>
  <c r="B95" i="75"/>
  <c r="N94" i="75"/>
  <c r="M94" i="75"/>
  <c r="K94" i="75"/>
  <c r="J94" i="75" s="1"/>
  <c r="D94" i="75"/>
  <c r="B94" i="75"/>
  <c r="M93" i="75"/>
  <c r="N93" i="75" s="1"/>
  <c r="K93" i="75"/>
  <c r="J93" i="75"/>
  <c r="F93" i="75"/>
  <c r="D93" i="75"/>
  <c r="N90" i="75"/>
  <c r="M90" i="75"/>
  <c r="K90" i="75"/>
  <c r="J90" i="75" s="1"/>
  <c r="D90" i="75"/>
  <c r="B90" i="75"/>
  <c r="M89" i="75"/>
  <c r="N89" i="75" s="1"/>
  <c r="K89" i="75"/>
  <c r="J89" i="75"/>
  <c r="D89" i="75"/>
  <c r="M88" i="75"/>
  <c r="N88" i="75" s="1"/>
  <c r="K88" i="75"/>
  <c r="J88" i="75"/>
  <c r="D88" i="75"/>
  <c r="B88" i="75"/>
  <c r="N87" i="75"/>
  <c r="M87" i="75"/>
  <c r="K87" i="75"/>
  <c r="J87" i="75" s="1"/>
  <c r="D87" i="75"/>
  <c r="B87" i="75"/>
  <c r="M86" i="75"/>
  <c r="N86" i="75" s="1"/>
  <c r="K86" i="75"/>
  <c r="J86" i="75"/>
  <c r="D86" i="75"/>
  <c r="B86" i="75"/>
  <c r="N85" i="75"/>
  <c r="M85" i="75"/>
  <c r="K85" i="75"/>
  <c r="J85" i="75" s="1"/>
  <c r="D85" i="75"/>
  <c r="B85" i="75"/>
  <c r="M84" i="75"/>
  <c r="N84" i="75" s="1"/>
  <c r="K84" i="75"/>
  <c r="J84" i="75"/>
  <c r="D84" i="75"/>
  <c r="B84" i="75"/>
  <c r="N83" i="75"/>
  <c r="M83" i="75"/>
  <c r="K83" i="75"/>
  <c r="J83" i="75" s="1"/>
  <c r="F83" i="75"/>
  <c r="H89" i="75" s="1"/>
  <c r="E83" i="75"/>
  <c r="B81" i="75" s="1"/>
  <c r="D83" i="75"/>
  <c r="B83" i="75"/>
  <c r="N80" i="75"/>
  <c r="M80" i="75"/>
  <c r="K80" i="75"/>
  <c r="J80" i="75" s="1"/>
  <c r="D80" i="75"/>
  <c r="N79" i="75"/>
  <c r="M79" i="75"/>
  <c r="K79" i="75"/>
  <c r="J79" i="75" s="1"/>
  <c r="D79" i="75"/>
  <c r="B79" i="75"/>
  <c r="M78" i="75"/>
  <c r="N78" i="75" s="1"/>
  <c r="K78" i="75"/>
  <c r="J78" i="75"/>
  <c r="D78" i="75"/>
  <c r="M77" i="75"/>
  <c r="N77" i="75" s="1"/>
  <c r="K77" i="75"/>
  <c r="J77" i="75"/>
  <c r="D77" i="75"/>
  <c r="B77" i="75"/>
  <c r="N76" i="75"/>
  <c r="M76" i="75"/>
  <c r="K76" i="75"/>
  <c r="J76" i="75" s="1"/>
  <c r="D76" i="75"/>
  <c r="B76" i="75"/>
  <c r="M75" i="75"/>
  <c r="N75" i="75" s="1"/>
  <c r="K75" i="75"/>
  <c r="J75" i="75"/>
  <c r="D75" i="75"/>
  <c r="B75" i="75"/>
  <c r="N74" i="75"/>
  <c r="M74" i="75"/>
  <c r="K74" i="75"/>
  <c r="J74" i="75" s="1"/>
  <c r="D74" i="75"/>
  <c r="B74" i="75"/>
  <c r="M73" i="75"/>
  <c r="N73" i="75" s="1"/>
  <c r="K73" i="75"/>
  <c r="J73" i="75"/>
  <c r="D73" i="75"/>
  <c r="B73" i="75"/>
  <c r="N72" i="75"/>
  <c r="M72" i="75"/>
  <c r="K72" i="75"/>
  <c r="J72" i="75" s="1"/>
  <c r="F72" i="75"/>
  <c r="H78" i="75" s="1"/>
  <c r="E72" i="75"/>
  <c r="B70" i="75" s="1"/>
  <c r="D72" i="75"/>
  <c r="B72" i="75"/>
  <c r="N69" i="75"/>
  <c r="M69" i="75"/>
  <c r="K69" i="75"/>
  <c r="J69" i="75" s="1"/>
  <c r="D69" i="75"/>
  <c r="B69" i="75"/>
  <c r="M68" i="75"/>
  <c r="N68" i="75" s="1"/>
  <c r="K68" i="75"/>
  <c r="J68" i="75"/>
  <c r="D68" i="75"/>
  <c r="B68" i="75"/>
  <c r="N67" i="75"/>
  <c r="M67" i="75"/>
  <c r="K67" i="75"/>
  <c r="J67" i="75" s="1"/>
  <c r="D67" i="75"/>
  <c r="B67" i="75"/>
  <c r="N66" i="75"/>
  <c r="M66" i="75"/>
  <c r="K66" i="75"/>
  <c r="J66" i="75" s="1"/>
  <c r="D66" i="75"/>
  <c r="N65" i="75"/>
  <c r="M65" i="75"/>
  <c r="K65" i="75"/>
  <c r="J65" i="75" s="1"/>
  <c r="D65" i="75"/>
  <c r="B65" i="75"/>
  <c r="M64" i="75"/>
  <c r="N64" i="75" s="1"/>
  <c r="K64" i="75"/>
  <c r="J64" i="75"/>
  <c r="D64" i="75"/>
  <c r="M63" i="75"/>
  <c r="N63" i="75" s="1"/>
  <c r="K63" i="75"/>
  <c r="J63" i="75"/>
  <c r="D63" i="75"/>
  <c r="B63" i="75"/>
  <c r="N62" i="75"/>
  <c r="M62" i="75"/>
  <c r="K62" i="75"/>
  <c r="J62" i="75" s="1"/>
  <c r="D62" i="75"/>
  <c r="B62" i="75"/>
  <c r="M61" i="75"/>
  <c r="N61" i="75" s="1"/>
  <c r="K61" i="75"/>
  <c r="J61" i="75"/>
  <c r="F61" i="75"/>
  <c r="H68" i="75" s="1"/>
  <c r="D61" i="75"/>
  <c r="E61" i="75" s="1"/>
  <c r="B59" i="75" s="1"/>
  <c r="B61" i="75"/>
  <c r="B58" i="75"/>
  <c r="B57" i="75"/>
  <c r="B56" i="75"/>
  <c r="B54" i="75"/>
  <c r="B52" i="75"/>
  <c r="B51" i="75"/>
  <c r="B50" i="75"/>
  <c r="H42" i="75"/>
  <c r="H41" i="75"/>
  <c r="H40" i="75"/>
  <c r="H39" i="75"/>
  <c r="H38" i="75"/>
  <c r="H37" i="75"/>
  <c r="P29" i="75"/>
  <c r="P25" i="75"/>
  <c r="M24" i="75"/>
  <c r="J24" i="75"/>
  <c r="I24" i="75"/>
  <c r="G24" i="75"/>
  <c r="E44" i="75" s="1"/>
  <c r="C44" i="75" s="1"/>
  <c r="E24" i="75"/>
  <c r="O23" i="75"/>
  <c r="M23" i="75"/>
  <c r="I23" i="75"/>
  <c r="G23" i="75"/>
  <c r="P28" i="75" s="1"/>
  <c r="C23" i="75"/>
  <c r="C22" i="75"/>
  <c r="I18" i="75"/>
  <c r="G17" i="75"/>
  <c r="C17" i="75"/>
  <c r="C13" i="75"/>
  <c r="AG10" i="75"/>
  <c r="AC10" i="75"/>
  <c r="Y10" i="75"/>
  <c r="C10" i="75"/>
  <c r="C11" i="75" s="1"/>
  <c r="AJ9" i="75"/>
  <c r="AJ10" i="75" s="1"/>
  <c r="AI9" i="75"/>
  <c r="AI10" i="75" s="1"/>
  <c r="AH9" i="75"/>
  <c r="AH10" i="75" s="1"/>
  <c r="AG9" i="75"/>
  <c r="AF9" i="75"/>
  <c r="AF10" i="75" s="1"/>
  <c r="AE9" i="75"/>
  <c r="AE10" i="75" s="1"/>
  <c r="AD9" i="75"/>
  <c r="AD10" i="75" s="1"/>
  <c r="AC9" i="75"/>
  <c r="AB9" i="75"/>
  <c r="AB10" i="75" s="1"/>
  <c r="AA9" i="75"/>
  <c r="AA10" i="75" s="1"/>
  <c r="Z9" i="75"/>
  <c r="Z10" i="75" s="1"/>
  <c r="C9" i="75"/>
  <c r="I2" i="75"/>
  <c r="G2" i="75"/>
  <c r="H117" i="75" s="1"/>
  <c r="F25" i="74"/>
  <c r="F24" i="74"/>
  <c r="F23" i="74"/>
  <c r="E22" i="74"/>
  <c r="E21" i="74"/>
  <c r="E19" i="74"/>
  <c r="F17" i="74"/>
  <c r="E16" i="74"/>
  <c r="F15" i="74"/>
  <c r="F14" i="74"/>
  <c r="K9" i="74"/>
  <c r="J9" i="74"/>
  <c r="I9" i="74"/>
  <c r="H9" i="74"/>
  <c r="G9" i="74"/>
  <c r="F9" i="74"/>
  <c r="E9" i="74"/>
  <c r="D9" i="74"/>
  <c r="G18" i="75" l="1"/>
  <c r="E17" i="75" s="1"/>
  <c r="C24" i="75"/>
  <c r="S3" i="75"/>
  <c r="M21" i="75"/>
  <c r="H83" i="75"/>
  <c r="H80" i="75"/>
  <c r="S6" i="75"/>
  <c r="I21" i="75"/>
  <c r="F37" i="75"/>
  <c r="F38" i="75"/>
  <c r="F39" i="75"/>
  <c r="F40" i="75"/>
  <c r="F41" i="75"/>
  <c r="F42" i="75"/>
  <c r="H72" i="75"/>
  <c r="H76" i="75"/>
  <c r="H87" i="75"/>
  <c r="S5" i="75"/>
  <c r="X7" i="75"/>
  <c r="D21" i="75"/>
  <c r="K21" i="75"/>
  <c r="O21" i="75"/>
  <c r="C27" i="75"/>
  <c r="H74" i="75"/>
  <c r="H79" i="75"/>
  <c r="H85" i="75"/>
  <c r="H90" i="75"/>
  <c r="Q32" i="75"/>
  <c r="O32" i="75"/>
  <c r="M32" i="75"/>
  <c r="N12" i="75"/>
  <c r="N11" i="75"/>
  <c r="N10" i="75"/>
  <c r="M9" i="75"/>
  <c r="M8" i="75"/>
  <c r="N7" i="75"/>
  <c r="N6" i="75"/>
  <c r="N5" i="75"/>
  <c r="M4" i="75"/>
  <c r="N3" i="75"/>
  <c r="M2" i="75"/>
  <c r="N1" i="75"/>
  <c r="M5" i="75"/>
  <c r="M7" i="75"/>
  <c r="C6" i="75" s="1"/>
  <c r="N8" i="75"/>
  <c r="N9" i="75"/>
  <c r="M10" i="75"/>
  <c r="E11" i="75"/>
  <c r="E10" i="75"/>
  <c r="P32" i="75"/>
  <c r="M1" i="75"/>
  <c r="N2" i="75"/>
  <c r="M3" i="75"/>
  <c r="N4" i="75"/>
  <c r="M6" i="75"/>
  <c r="E8" i="75"/>
  <c r="C7" i="75" s="1"/>
  <c r="E9" i="75"/>
  <c r="M11" i="75"/>
  <c r="M12" i="75"/>
  <c r="N32" i="75"/>
  <c r="H62" i="75"/>
  <c r="H65" i="75"/>
  <c r="H66" i="75"/>
  <c r="H69" i="75"/>
  <c r="H101" i="75"/>
  <c r="H99" i="75"/>
  <c r="H96" i="75"/>
  <c r="H95" i="75"/>
  <c r="H93" i="75"/>
  <c r="H94" i="75"/>
  <c r="H98" i="75"/>
  <c r="S2" i="75"/>
  <c r="S4" i="75"/>
  <c r="C21" i="75"/>
  <c r="E21" i="75"/>
  <c r="H21" i="75"/>
  <c r="J21" i="75"/>
  <c r="L21" i="75"/>
  <c r="N21" i="75"/>
  <c r="P26" i="75"/>
  <c r="P27" i="75"/>
  <c r="H61" i="75"/>
  <c r="H63" i="75"/>
  <c r="H64" i="75"/>
  <c r="H67" i="75"/>
  <c r="E93" i="75"/>
  <c r="B91" i="75" s="1"/>
  <c r="H97" i="75"/>
  <c r="H100" i="75"/>
  <c r="H73" i="75"/>
  <c r="H75" i="75"/>
  <c r="H77" i="75"/>
  <c r="H84" i="75"/>
  <c r="H86" i="75"/>
  <c r="H88" i="75"/>
  <c r="F6" i="73"/>
  <c r="H4" i="73"/>
  <c r="F11" i="72"/>
  <c r="F17" i="72"/>
  <c r="G22" i="72"/>
  <c r="F23" i="72"/>
  <c r="F27" i="72"/>
  <c r="D3" i="4"/>
  <c r="F50" i="75" l="1"/>
  <c r="H58" i="75" s="1"/>
  <c r="G58" i="75" s="1"/>
  <c r="F28" i="72"/>
  <c r="G21" i="75"/>
  <c r="C20" i="75" s="1"/>
  <c r="D5" i="75" s="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H52" i="75" l="1"/>
  <c r="G52" i="75" s="1"/>
  <c r="M52" i="75" s="1"/>
  <c r="N52" i="75" s="1"/>
  <c r="H51" i="75"/>
  <c r="G51" i="75" s="1"/>
  <c r="M51" i="75" s="1"/>
  <c r="N51" i="75" s="1"/>
  <c r="H50" i="75"/>
  <c r="G50" i="75" s="1"/>
  <c r="M50" i="75" s="1"/>
  <c r="N50" i="75" s="1"/>
  <c r="H54" i="75"/>
  <c r="G54" i="75" s="1"/>
  <c r="K54" i="75" s="1"/>
  <c r="H56" i="75"/>
  <c r="G56" i="75" s="1"/>
  <c r="K56" i="75" s="1"/>
  <c r="H55" i="75"/>
  <c r="G55" i="75" s="1"/>
  <c r="M55" i="75" s="1"/>
  <c r="N55" i="75" s="1"/>
  <c r="H53" i="75"/>
  <c r="G53" i="75" s="1"/>
  <c r="M53" i="75" s="1"/>
  <c r="N53" i="75" s="1"/>
  <c r="H57" i="75"/>
  <c r="G57" i="75" s="1"/>
  <c r="M57" i="75" s="1"/>
  <c r="N57" i="75" s="1"/>
  <c r="K52" i="75"/>
  <c r="K50" i="75"/>
  <c r="M54" i="75"/>
  <c r="N54" i="75" s="1"/>
  <c r="M56" i="75"/>
  <c r="N56" i="75" s="1"/>
  <c r="K53" i="75"/>
  <c r="K57" i="75"/>
  <c r="K58" i="75"/>
  <c r="M58" i="75"/>
  <c r="N58" i="75" s="1"/>
  <c r="C5" i="75"/>
  <c r="P28" i="70"/>
  <c r="P26" i="70"/>
  <c r="K55" i="75" l="1"/>
  <c r="K51" i="75"/>
  <c r="J57" i="75"/>
  <c r="D57" i="75"/>
  <c r="J53" i="75"/>
  <c r="D53" i="75"/>
  <c r="J55" i="75"/>
  <c r="D55" i="75"/>
  <c r="J51" i="75"/>
  <c r="D51" i="75"/>
  <c r="J58" i="75"/>
  <c r="D58" i="75"/>
  <c r="J56" i="75"/>
  <c r="D56" i="75"/>
  <c r="J54" i="75"/>
  <c r="D54" i="75"/>
  <c r="J50" i="75"/>
  <c r="D50" i="75"/>
  <c r="J52" i="75"/>
  <c r="D52" i="75"/>
  <c r="B3" i="69"/>
  <c r="C7" i="69" s="1"/>
  <c r="E50" i="75" l="1"/>
  <c r="B48" i="75" s="1"/>
  <c r="C28" i="75" s="1"/>
  <c r="C5" i="69"/>
  <c r="C6" i="69"/>
  <c r="C41" i="75" l="1"/>
  <c r="C39" i="75"/>
  <c r="C37" i="75"/>
  <c r="C42" i="75"/>
  <c r="C40" i="75"/>
  <c r="C38" i="75"/>
  <c r="T16" i="75"/>
  <c r="V16" i="75" s="1"/>
  <c r="T5" i="75"/>
  <c r="V5" i="75" s="1"/>
  <c r="T13" i="75"/>
  <c r="V13" i="75" s="1"/>
  <c r="T8" i="75"/>
  <c r="V8" i="75" s="1"/>
  <c r="T4" i="75"/>
  <c r="V4" i="75" s="1"/>
  <c r="T6" i="75"/>
  <c r="V6" i="75" s="1"/>
  <c r="T14" i="75"/>
  <c r="V14" i="75" s="1"/>
  <c r="T2" i="75"/>
  <c r="V2" i="75" s="1"/>
  <c r="T7" i="75"/>
  <c r="V7" i="75" s="1"/>
  <c r="T11" i="75"/>
  <c r="V11" i="75" s="1"/>
  <c r="T15" i="75"/>
  <c r="V15" i="75" s="1"/>
  <c r="T12" i="75"/>
  <c r="V12" i="75" s="1"/>
  <c r="T3" i="75"/>
  <c r="V3" i="75" s="1"/>
  <c r="T9" i="75"/>
  <c r="V9" i="75" s="1"/>
  <c r="T10" i="75"/>
  <c r="V10" i="75" s="1"/>
  <c r="C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E38" i="75" l="1"/>
  <c r="G38" i="75"/>
  <c r="I38" i="75" s="1"/>
  <c r="G42" i="75"/>
  <c r="I42" i="75" s="1"/>
  <c r="E42" i="75"/>
  <c r="E39" i="75"/>
  <c r="G39" i="75"/>
  <c r="I39" i="75" s="1"/>
  <c r="G40" i="75"/>
  <c r="I40" i="75" s="1"/>
  <c r="E40" i="75"/>
  <c r="G37" i="75"/>
  <c r="I37" i="75" s="1"/>
  <c r="E37" i="75"/>
  <c r="G41" i="75"/>
  <c r="I41" i="75" s="1"/>
  <c r="E41" i="75"/>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K3" i="70" l="1"/>
  <c r="R5" i="70"/>
  <c r="P5" i="70"/>
  <c r="T5" i="70"/>
  <c r="W5" i="70" s="1"/>
  <c r="O3" i="70"/>
  <c r="V5" i="70"/>
  <c r="R8" i="70"/>
  <c r="R6" i="70"/>
  <c r="R7" i="70"/>
  <c r="P9" i="70"/>
  <c r="T7" i="70"/>
  <c r="W7" i="70" s="1"/>
  <c r="T6" i="70"/>
  <c r="W6" i="70" s="1"/>
  <c r="T8" i="70"/>
  <c r="W8" i="70" s="1"/>
  <c r="V8" i="70"/>
  <c r="V6" i="70"/>
  <c r="V7" i="70"/>
  <c r="P29" i="70"/>
  <c r="T26" i="70"/>
  <c r="W26" i="70" s="1"/>
  <c r="T27" i="70"/>
  <c r="W27" i="70" s="1"/>
  <c r="T28" i="70"/>
  <c r="W28" i="70" s="1"/>
  <c r="E21" i="46"/>
  <c r="S8" i="70"/>
  <c r="S6" i="70"/>
  <c r="S7" i="70"/>
  <c r="U8" i="70"/>
  <c r="U6" i="70"/>
  <c r="U7" i="70"/>
  <c r="P15" i="70"/>
  <c r="S28" i="70"/>
  <c r="S26" i="70"/>
  <c r="S27" i="70"/>
  <c r="U28" i="70"/>
  <c r="U27"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G25" i="69"/>
  <c r="C18"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X12" i="59" s="1"/>
  <c r="L3" i="59"/>
  <c r="AH3" i="59" s="1"/>
  <c r="K3" i="59"/>
  <c r="AG3" i="59" s="1"/>
  <c r="J3" i="59"/>
  <c r="AE3" i="59" s="1"/>
  <c r="AF3" i="59" s="1"/>
  <c r="I3" i="59"/>
  <c r="AD3" i="59" s="1"/>
  <c r="AH22" i="59"/>
  <c r="AG22" i="59"/>
  <c r="AE22" i="59"/>
  <c r="AF22" i="59"/>
  <c r="AD22" i="59"/>
  <c r="Q22" i="59"/>
  <c r="AB19" i="59" s="1"/>
  <c r="Q23" i="59"/>
  <c r="P22" i="59"/>
  <c r="P23" i="59"/>
  <c r="O22" i="59"/>
  <c r="O23" i="59"/>
  <c r="Y15" i="59" s="1"/>
  <c r="Z15" i="59" s="1"/>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AA24" i="59" s="1"/>
  <c r="O26" i="59"/>
  <c r="K59" i="15"/>
  <c r="P62" i="15" s="1"/>
  <c r="P75" i="15"/>
  <c r="Q74" i="44"/>
  <c r="Q61" i="44"/>
  <c r="Q60" i="44"/>
  <c r="Q53" i="44"/>
  <c r="J51" i="44"/>
  <c r="J52" i="44"/>
  <c r="M48" i="44"/>
  <c r="A16" i="55"/>
  <c r="B67" i="63" s="1"/>
  <c r="A15" i="55"/>
  <c r="B66" i="63" s="1"/>
  <c r="A10" i="55"/>
  <c r="B61" i="63" s="1"/>
  <c r="A9" i="55"/>
  <c r="B60" i="63" s="1"/>
  <c r="A8" i="55"/>
  <c r="A6" i="54"/>
  <c r="A8" i="54"/>
  <c r="A7" i="54"/>
  <c r="A27" i="51"/>
  <c r="B20" i="63" s="1"/>
  <c r="Q27" i="59"/>
  <c r="O27" i="59"/>
  <c r="N28" i="59"/>
  <c r="O28" i="59"/>
  <c r="P28" i="59"/>
  <c r="Q28" i="59"/>
  <c r="N27" i="59"/>
  <c r="X27" i="59" s="1"/>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F29" i="59" s="1"/>
  <c r="V29" i="59" s="1"/>
  <c r="P29" i="59"/>
  <c r="O29" i="59"/>
  <c r="N29" i="59"/>
  <c r="B29" i="59" s="1"/>
  <c r="B28" i="59" s="1"/>
  <c r="B27" i="59" s="1"/>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D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AB29" i="59" s="1"/>
  <c r="P40" i="59"/>
  <c r="O40" i="59"/>
  <c r="Y40" i="59"/>
  <c r="Z40" i="59" s="1"/>
  <c r="N40" i="59"/>
  <c r="X38" i="59" s="1"/>
  <c r="Q39" i="59"/>
  <c r="P39" i="59"/>
  <c r="AA39" i="59" s="1"/>
  <c r="O39" i="59"/>
  <c r="Y39" i="59" s="1"/>
  <c r="Z39" i="59" s="1"/>
  <c r="N39" i="59"/>
  <c r="Q38" i="59"/>
  <c r="F39" i="59" s="1"/>
  <c r="F40" i="59" s="1"/>
  <c r="P38" i="59"/>
  <c r="O38" i="59"/>
  <c r="C39" i="59"/>
  <c r="C40" i="59" s="1"/>
  <c r="D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F35" i="59"/>
  <c r="F36" i="59" s="1"/>
  <c r="F37" i="59" s="1"/>
  <c r="V37" i="59" s="1"/>
  <c r="P34" i="59"/>
  <c r="E35" i="59"/>
  <c r="E36" i="59" s="1"/>
  <c r="E37" i="59" s="1"/>
  <c r="U37" i="59" s="1"/>
  <c r="O34" i="59"/>
  <c r="Y26" i="59" s="1"/>
  <c r="Z26" i="59" s="1"/>
  <c r="N34" i="59"/>
  <c r="B35" i="59" s="1"/>
  <c r="B36" i="59"/>
  <c r="B37" i="59" s="1"/>
  <c r="S37" i="59" s="1"/>
  <c r="D34" i="59"/>
  <c r="Q33" i="59"/>
  <c r="P33" i="59"/>
  <c r="AA33" i="59" s="1"/>
  <c r="O33" i="59"/>
  <c r="Y33" i="59" s="1"/>
  <c r="Z33" i="59" s="1"/>
  <c r="N33" i="59"/>
  <c r="Q32" i="59"/>
  <c r="P32" i="59"/>
  <c r="O32" i="59"/>
  <c r="N32" i="59"/>
  <c r="X32" i="59" s="1"/>
  <c r="Q31" i="59"/>
  <c r="P31" i="59"/>
  <c r="O31" i="59"/>
  <c r="N31" i="59"/>
  <c r="Q30" i="59"/>
  <c r="P30" i="59"/>
  <c r="AA30" i="59" s="1"/>
  <c r="O30" i="59"/>
  <c r="C31" i="59"/>
  <c r="C32" i="59" s="1"/>
  <c r="D32" i="59" s="1"/>
  <c r="N30" i="59"/>
  <c r="B31" i="59"/>
  <c r="B32" i="59" s="1"/>
  <c r="D30" i="59"/>
  <c r="X3" i="59"/>
  <c r="X29" i="59"/>
  <c r="AA28" i="59"/>
  <c r="Y27" i="59"/>
  <c r="Z27" i="59" s="1"/>
  <c r="Y29" i="59"/>
  <c r="Z29" i="59" s="1"/>
  <c r="AB26" i="59"/>
  <c r="B33" i="59"/>
  <c r="S33" i="59" s="1"/>
  <c r="S69" i="59"/>
  <c r="AA40" i="59"/>
  <c r="F44" i="59"/>
  <c r="F45" i="59" s="1"/>
  <c r="V45" i="59" s="1"/>
  <c r="F49" i="59"/>
  <c r="V49" i="59" s="1"/>
  <c r="F56" i="59"/>
  <c r="F57" i="59" s="1"/>
  <c r="V57" i="59"/>
  <c r="F64" i="59"/>
  <c r="F65" i="59" s="1"/>
  <c r="V65" i="59" s="1"/>
  <c r="D31" i="59"/>
  <c r="D43" i="59"/>
  <c r="C52" i="59"/>
  <c r="D52" i="59" s="1"/>
  <c r="C56" i="59"/>
  <c r="C60" i="59"/>
  <c r="C61" i="59" s="1"/>
  <c r="C64" i="59"/>
  <c r="B67" i="59"/>
  <c r="N67" i="59" s="1"/>
  <c r="Q68" i="59"/>
  <c r="T69" i="59"/>
  <c r="D69" i="59"/>
  <c r="P69" i="59"/>
  <c r="U69" i="59"/>
  <c r="Q69" i="59"/>
  <c r="E72" i="59"/>
  <c r="E71" i="59" s="1"/>
  <c r="D73" i="59"/>
  <c r="C76" i="59"/>
  <c r="E76" i="59"/>
  <c r="E75" i="59" s="1"/>
  <c r="D77" i="59"/>
  <c r="E80" i="59"/>
  <c r="E79" i="59" s="1"/>
  <c r="C88" i="59"/>
  <c r="D88" i="59" s="1"/>
  <c r="U16" i="4"/>
  <c r="S16" i="4"/>
  <c r="Q16" i="4"/>
  <c r="O16" i="4"/>
  <c r="M16" i="4"/>
  <c r="K16" i="4"/>
  <c r="C87" i="59"/>
  <c r="D87" i="59" s="1"/>
  <c r="D76" i="59"/>
  <c r="C75" i="59"/>
  <c r="D75" i="59" s="1"/>
  <c r="N66" i="59"/>
  <c r="C65" i="59"/>
  <c r="D65" i="59" s="1"/>
  <c r="D64" i="59"/>
  <c r="D60" i="59"/>
  <c r="C57" i="59"/>
  <c r="D57" i="59" s="1"/>
  <c r="D56" i="59"/>
  <c r="C53" i="59"/>
  <c r="D53" i="59" s="1"/>
  <c r="C45" i="59"/>
  <c r="D45" i="59" s="1"/>
  <c r="D44" i="59"/>
  <c r="C41" i="59"/>
  <c r="D41" i="59" s="1"/>
  <c r="C33" i="59"/>
  <c r="D33" i="59" s="1"/>
  <c r="T33" i="59"/>
  <c r="T4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B100" i="46" s="1"/>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C25" i="74" s="1"/>
  <c r="A12" i="1"/>
  <c r="A13" i="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20" i="6"/>
  <c r="C9" i="12" s="1"/>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c r="K81" i="36" s="1"/>
  <c r="L81" i="36" s="1"/>
  <c r="M81" i="36" s="1"/>
  <c r="F79" i="36"/>
  <c r="E79" i="36"/>
  <c r="D79" i="36"/>
  <c r="C79" i="36"/>
  <c r="B93" i="36"/>
  <c r="B91" i="36"/>
  <c r="F32" i="36"/>
  <c r="S32" i="36" s="1"/>
  <c r="B95" i="36"/>
  <c r="H34" i="36" s="1"/>
  <c r="D83" i="36"/>
  <c r="E83" i="36" s="1"/>
  <c r="F83" i="36" s="1"/>
  <c r="G83" i="36" s="1"/>
  <c r="H83" i="36"/>
  <c r="I83" i="36" s="1"/>
  <c r="J83" i="36" s="1"/>
  <c r="K83" i="36" s="1"/>
  <c r="L83" i="36" s="1"/>
  <c r="M83" i="36" s="1"/>
  <c r="D78" i="36"/>
  <c r="J26" i="36"/>
  <c r="W26" i="36"/>
  <c r="B75" i="36"/>
  <c r="B73" i="36"/>
  <c r="J24" i="36" s="1"/>
  <c r="W24" i="36"/>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D120" i="34"/>
  <c r="E120" i="34" s="1"/>
  <c r="F120" i="34"/>
  <c r="G120" i="34" s="1"/>
  <c r="H120" i="34" s="1"/>
  <c r="I120" i="34" s="1"/>
  <c r="J120" i="34"/>
  <c r="K120" i="34" s="1"/>
  <c r="L120" i="34" s="1"/>
  <c r="M120" i="34" s="1"/>
  <c r="D90" i="34"/>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c r="L92" i="34" s="1"/>
  <c r="M92" i="34" s="1"/>
  <c r="B91" i="34"/>
  <c r="F28" i="34"/>
  <c r="S28" i="34" s="1"/>
  <c r="B89" i="34"/>
  <c r="J27" i="34" s="1"/>
  <c r="D88" i="34"/>
  <c r="E88" i="34" s="1"/>
  <c r="F88" i="34"/>
  <c r="G88" i="34" s="1"/>
  <c r="H88" i="34" s="1"/>
  <c r="I88" i="34" s="1"/>
  <c r="J88" i="34"/>
  <c r="K88" i="34" s="1"/>
  <c r="L88" i="34" s="1"/>
  <c r="M88" i="34" s="1"/>
  <c r="D86" i="34"/>
  <c r="E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H8" i="34"/>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W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I101" i="21" s="1"/>
  <c r="J101" i="21" s="1"/>
  <c r="K101" i="21" s="1"/>
  <c r="L101" i="21" s="1"/>
  <c r="M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c r="F79" i="21" s="1"/>
  <c r="G79" i="21" s="1"/>
  <c r="D85" i="21"/>
  <c r="E85" i="21"/>
  <c r="D81" i="21"/>
  <c r="E81" i="21"/>
  <c r="F81" i="21" s="1"/>
  <c r="G81" i="21"/>
  <c r="D77" i="21"/>
  <c r="E77" i="21"/>
  <c r="B130" i="21"/>
  <c r="B128" i="21"/>
  <c r="F45" i="21" s="1"/>
  <c r="B126" i="21"/>
  <c r="B98" i="21"/>
  <c r="J31" i="21" s="1"/>
  <c r="B96" i="21"/>
  <c r="B94" i="21"/>
  <c r="H29" i="21" s="1"/>
  <c r="B92" i="21"/>
  <c r="B90" i="21"/>
  <c r="H27" i="21" s="1"/>
  <c r="B74" i="21"/>
  <c r="B72" i="21"/>
  <c r="J13" i="21" s="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D5" i="3" s="1"/>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AC9" i="21" s="1"/>
  <c r="H8" i="21"/>
  <c r="H10" i="21"/>
  <c r="U10" i="21" s="1"/>
  <c r="H39" i="21"/>
  <c r="J34" i="21"/>
  <c r="W34" i="21" s="1"/>
  <c r="H36" i="21"/>
  <c r="U36" i="21" s="1"/>
  <c r="F35" i="21"/>
  <c r="AA35" i="21" s="1"/>
  <c r="J33" i="21"/>
  <c r="W33" i="21" s="1"/>
  <c r="H33" i="21"/>
  <c r="U33" i="21" s="1"/>
  <c r="F33" i="21"/>
  <c r="AA33" i="21" s="1"/>
  <c r="J10" i="21"/>
  <c r="AC10" i="21"/>
  <c r="H26" i="21"/>
  <c r="F19" i="21"/>
  <c r="H19" i="21"/>
  <c r="AB19" i="21" s="1"/>
  <c r="J19" i="21"/>
  <c r="W19" i="21" s="1"/>
  <c r="J12" i="21"/>
  <c r="H12" i="21"/>
  <c r="U12" i="21"/>
  <c r="J26" i="21"/>
  <c r="W26" i="21"/>
  <c r="F26" i="21"/>
  <c r="AA26" i="21"/>
  <c r="AB41" i="21"/>
  <c r="S41" i="21"/>
  <c r="W41" i="21"/>
  <c r="S10" i="39"/>
  <c r="U30" i="37"/>
  <c r="E103" i="37"/>
  <c r="F103" i="37"/>
  <c r="F29" i="36"/>
  <c r="AA29" i="36" s="1"/>
  <c r="F16" i="36"/>
  <c r="AA16" i="36" s="1"/>
  <c r="U22" i="36"/>
  <c r="W23" i="36"/>
  <c r="W22" i="36"/>
  <c r="AC31" i="36"/>
  <c r="J33" i="36"/>
  <c r="W33" i="36"/>
  <c r="AC27" i="35"/>
  <c r="U31" i="35"/>
  <c r="W36" i="35"/>
  <c r="W24" i="35"/>
  <c r="S31" i="35"/>
  <c r="W31" i="35"/>
  <c r="F36" i="34"/>
  <c r="S36" i="34"/>
  <c r="W9" i="34"/>
  <c r="S34" i="34"/>
  <c r="H39" i="33"/>
  <c r="AB39" i="33" s="1"/>
  <c r="F26" i="33"/>
  <c r="AA26" i="33" s="1"/>
  <c r="U33" i="33"/>
  <c r="W38" i="33"/>
  <c r="S40" i="33"/>
  <c r="S33" i="33"/>
  <c r="W33" i="33"/>
  <c r="U38" i="33"/>
  <c r="S8" i="21"/>
  <c r="W8" i="21"/>
  <c r="AB27" i="35"/>
  <c r="W10" i="40"/>
  <c r="U11" i="40"/>
  <c r="U36" i="40"/>
  <c r="S40" i="39"/>
  <c r="F11" i="21"/>
  <c r="S11" i="21" s="1"/>
  <c r="AC40" i="21"/>
  <c r="AB36" i="21"/>
  <c r="AC35" i="21"/>
  <c r="C29" i="39"/>
  <c r="U36" i="39"/>
  <c r="H32" i="33"/>
  <c r="AB32" i="33"/>
  <c r="H11" i="21"/>
  <c r="U11" i="21"/>
  <c r="J11" i="21"/>
  <c r="W11" i="21"/>
  <c r="F85" i="40"/>
  <c r="G85" i="40"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AA35" i="37" s="1"/>
  <c r="E101" i="37"/>
  <c r="F101" i="37"/>
  <c r="G101" i="37" s="1"/>
  <c r="H101" i="37" s="1"/>
  <c r="I101" i="37" s="1"/>
  <c r="J101" i="37" s="1"/>
  <c r="K101" i="37" s="1"/>
  <c r="L101" i="37" s="1"/>
  <c r="M101" i="37" s="1"/>
  <c r="J34" i="37"/>
  <c r="H43" i="34"/>
  <c r="U42" i="34"/>
  <c r="E114" i="34"/>
  <c r="H36" i="34"/>
  <c r="U36" i="34" s="1"/>
  <c r="F37" i="34"/>
  <c r="F33" i="34"/>
  <c r="S33" i="34" s="1"/>
  <c r="AA28" i="34"/>
  <c r="F19" i="34"/>
  <c r="AA19" i="34"/>
  <c r="J10" i="34"/>
  <c r="AC10" i="34" s="1"/>
  <c r="U9" i="34"/>
  <c r="J28" i="34"/>
  <c r="W28" i="34" s="1"/>
  <c r="S38" i="33"/>
  <c r="F36" i="33"/>
  <c r="S36" i="33" s="1"/>
  <c r="F19" i="33"/>
  <c r="S19" i="33" s="1"/>
  <c r="J19" i="33"/>
  <c r="AC19" i="33" s="1"/>
  <c r="S10" i="21"/>
  <c r="W40" i="33"/>
  <c r="AC34" i="36"/>
  <c r="S22" i="35"/>
  <c r="H29" i="35"/>
  <c r="AB29" i="35" s="1"/>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H45" i="21"/>
  <c r="U45" i="21" s="1"/>
  <c r="F27" i="33"/>
  <c r="F13" i="33"/>
  <c r="J29" i="33"/>
  <c r="J31" i="33"/>
  <c r="AC31" i="33" s="1"/>
  <c r="H31" i="33"/>
  <c r="U31" i="33" s="1"/>
  <c r="S31" i="33"/>
  <c r="J45" i="33"/>
  <c r="W45" i="33"/>
  <c r="F45" i="33"/>
  <c r="S45" i="33"/>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B13" i="35"/>
  <c r="U30" i="33"/>
  <c r="J36" i="37"/>
  <c r="AC36" i="37" s="1"/>
  <c r="G105" i="37"/>
  <c r="AB28" i="36"/>
  <c r="S46" i="21"/>
  <c r="U46" i="21"/>
  <c r="AC30" i="21"/>
  <c r="AB30" i="21"/>
  <c r="S28" i="21"/>
  <c r="AA28" i="21"/>
  <c r="AB14" i="21"/>
  <c r="W42" i="21"/>
  <c r="S46" i="33"/>
  <c r="U36" i="37"/>
  <c r="AB45" i="33"/>
  <c r="AB27" i="33"/>
  <c r="U28" i="21"/>
  <c r="AB44" i="21"/>
  <c r="G517" i="3"/>
  <c r="G508" i="3"/>
  <c r="G493" i="3"/>
  <c r="G17" i="3"/>
  <c r="G561" i="3"/>
  <c r="G539" i="3"/>
  <c r="BL553" i="3"/>
  <c r="BL519" i="3"/>
  <c r="BL491" i="3"/>
  <c r="BL563" i="3"/>
  <c r="BL533" i="3"/>
  <c r="G518" i="3"/>
  <c r="G510" i="3"/>
  <c r="BL485" i="3"/>
  <c r="BA565" i="3"/>
  <c r="BA559" i="3"/>
  <c r="BA551" i="3"/>
  <c r="BA531" i="3"/>
  <c r="AZ531" i="3" s="1"/>
  <c r="BA505" i="3"/>
  <c r="BA493" i="3"/>
  <c r="BA19" i="3"/>
  <c r="BA562" i="3"/>
  <c r="BA558" i="3"/>
  <c r="BA546" i="3"/>
  <c r="BA536" i="3"/>
  <c r="BA524" i="3"/>
  <c r="BA512" i="3"/>
  <c r="BA502" i="3"/>
  <c r="BA492" i="3"/>
  <c r="BA484" i="3"/>
  <c r="G566" i="3"/>
  <c r="G560" i="3"/>
  <c r="G554"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L548" i="3" s="1"/>
  <c r="BQ546" i="3"/>
  <c r="BQ544" i="3"/>
  <c r="BL544" i="3" s="1"/>
  <c r="G530" i="3"/>
  <c r="G522" i="3"/>
  <c r="BQ540" i="3"/>
  <c r="BL540" i="3"/>
  <c r="BQ538" i="3"/>
  <c r="BL538" i="3"/>
  <c r="BQ536" i="3"/>
  <c r="BQ534" i="3"/>
  <c r="BL534" i="3" s="1"/>
  <c r="BQ532" i="3"/>
  <c r="BQ530" i="3"/>
  <c r="BL530" i="3" s="1"/>
  <c r="BQ528" i="3"/>
  <c r="BQ526" i="3"/>
  <c r="BL526" i="3" s="1"/>
  <c r="BQ524" i="3"/>
  <c r="BQ522" i="3"/>
  <c r="BQ520" i="3"/>
  <c r="BL520" i="3"/>
  <c r="BQ518" i="3"/>
  <c r="BQ516" i="3"/>
  <c r="BL516" i="3" s="1"/>
  <c r="BQ514" i="3"/>
  <c r="BQ512" i="3"/>
  <c r="BL512" i="3" s="1"/>
  <c r="AZ512" i="3" s="1"/>
  <c r="BQ510" i="3"/>
  <c r="BL510" i="3"/>
  <c r="BQ508" i="3"/>
  <c r="BL508" i="3"/>
  <c r="AC506" i="3"/>
  <c r="G506" i="3"/>
  <c r="BQ506" i="3"/>
  <c r="G502" i="3"/>
  <c r="BQ504" i="3"/>
  <c r="BL504" i="3" s="1"/>
  <c r="BQ502" i="3"/>
  <c r="BL502" i="3" s="1"/>
  <c r="BQ500" i="3"/>
  <c r="BL500" i="3" s="1"/>
  <c r="BQ498" i="3"/>
  <c r="BQ496" i="3"/>
  <c r="AC494" i="3"/>
  <c r="G494" i="3" s="1"/>
  <c r="BQ494" i="3"/>
  <c r="BL494" i="3" s="1"/>
  <c r="G492" i="3"/>
  <c r="BQ492" i="3"/>
  <c r="BL492" i="3" s="1"/>
  <c r="AZ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F17" i="37"/>
  <c r="AA17" i="37" s="1"/>
  <c r="AB43" i="33"/>
  <c r="D3" i="21"/>
  <c r="AC33" i="36"/>
  <c r="W23" i="35"/>
  <c r="AC8" i="37"/>
  <c r="S25" i="37"/>
  <c r="AC36" i="34"/>
  <c r="AC37" i="33"/>
  <c r="AC45" i="33"/>
  <c r="U19" i="21"/>
  <c r="AC33" i="21"/>
  <c r="AA36"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G483" i="3"/>
  <c r="G507" i="3"/>
  <c r="BA15" i="3"/>
  <c r="BL15" i="3"/>
  <c r="J57" i="39"/>
  <c r="H13" i="40"/>
  <c r="U13" i="40" s="1"/>
  <c r="I4" i="4"/>
  <c r="K141" i="21"/>
  <c r="K143" i="21"/>
  <c r="K144"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BL119" i="3"/>
  <c r="G120" i="3"/>
  <c r="BA122" i="3"/>
  <c r="BL123" i="3"/>
  <c r="G124" i="3"/>
  <c r="BA126" i="3"/>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BL151" i="3"/>
  <c r="AZ151" i="3" s="1"/>
  <c r="BA153" i="3"/>
  <c r="BL154" i="3"/>
  <c r="G155" i="3"/>
  <c r="BA157" i="3"/>
  <c r="AZ157" i="3" s="1"/>
  <c r="BL158" i="3"/>
  <c r="G159" i="3"/>
  <c r="BA161" i="3"/>
  <c r="BL162" i="3"/>
  <c r="G163" i="3"/>
  <c r="BA165" i="3"/>
  <c r="BL166" i="3"/>
  <c r="G167" i="3"/>
  <c r="BA169" i="3"/>
  <c r="BL170" i="3"/>
  <c r="G171" i="3"/>
  <c r="BA173" i="3"/>
  <c r="BL174" i="3"/>
  <c r="G175" i="3"/>
  <c r="BA178" i="3"/>
  <c r="BL179" i="3"/>
  <c r="G180" i="3"/>
  <c r="AZ31" i="3"/>
  <c r="AZ35" i="3"/>
  <c r="AZ47"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AZ86" i="3"/>
  <c r="AZ98" i="3"/>
  <c r="AZ102"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BL381" i="3"/>
  <c r="G382" i="3"/>
  <c r="G385" i="3"/>
  <c r="AZ158" i="3"/>
  <c r="AZ187" i="3"/>
  <c r="AZ20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G342" i="3"/>
  <c r="BA344" i="3"/>
  <c r="BL345" i="3"/>
  <c r="G346" i="3"/>
  <c r="BA348" i="3"/>
  <c r="BL349" i="3"/>
  <c r="G350" i="3"/>
  <c r="BA352" i="3"/>
  <c r="BL353" i="3"/>
  <c r="G354" i="3"/>
  <c r="BA356" i="3"/>
  <c r="BL357" i="3"/>
  <c r="G358" i="3"/>
  <c r="BA362" i="3"/>
  <c r="AZ362" i="3" s="1"/>
  <c r="BL363" i="3"/>
  <c r="AZ363" i="3" s="1"/>
  <c r="G364" i="3"/>
  <c r="BA366" i="3"/>
  <c r="BL367" i="3"/>
  <c r="AZ209" i="3"/>
  <c r="AZ213" i="3"/>
  <c r="AZ217" i="3"/>
  <c r="AZ221" i="3"/>
  <c r="AZ225" i="3"/>
  <c r="AZ229" i="3"/>
  <c r="AZ233" i="3"/>
  <c r="AZ237" i="3"/>
  <c r="AZ241" i="3"/>
  <c r="AZ245" i="3"/>
  <c r="AZ341" i="3"/>
  <c r="G368" i="3"/>
  <c r="BA370" i="3"/>
  <c r="BL371" i="3"/>
  <c r="G372" i="3"/>
  <c r="BA374" i="3"/>
  <c r="AZ374" i="3" s="1"/>
  <c r="BL375" i="3"/>
  <c r="G376" i="3"/>
  <c r="BA378" i="3"/>
  <c r="BL379" i="3"/>
  <c r="G380" i="3"/>
  <c r="BA382" i="3"/>
  <c r="BL383" i="3"/>
  <c r="G384" i="3"/>
  <c r="AZ249" i="3"/>
  <c r="AZ253" i="3"/>
  <c r="AZ257" i="3"/>
  <c r="AZ261" i="3"/>
  <c r="AZ265" i="3"/>
  <c r="AZ383" i="3"/>
  <c r="AZ270" i="3"/>
  <c r="AZ274" i="3"/>
  <c r="AZ278" i="3"/>
  <c r="AZ303" i="3"/>
  <c r="AZ361" i="3"/>
  <c r="F37" i="46"/>
  <c r="AA43" i="21"/>
  <c r="U43" i="21"/>
  <c r="AA13" i="40"/>
  <c r="F77" i="40"/>
  <c r="G77" i="40" s="1"/>
  <c r="H77" i="40"/>
  <c r="I77" i="40" s="1"/>
  <c r="J77" i="40" s="1"/>
  <c r="K77" i="40" s="1"/>
  <c r="L77" i="40" s="1"/>
  <c r="M77" i="40" s="1"/>
  <c r="R16" i="4"/>
  <c r="D3" i="35"/>
  <c r="G4" i="4"/>
  <c r="J16" i="35"/>
  <c r="W16" i="35" s="1"/>
  <c r="U42" i="21"/>
  <c r="AC26" i="36"/>
  <c r="W25" i="35"/>
  <c r="AZ354" i="3"/>
  <c r="H13" i="39"/>
  <c r="AB13" i="39" s="1"/>
  <c r="F13" i="39"/>
  <c r="J13" i="39"/>
  <c r="AC13" i="39" s="1"/>
  <c r="AA36" i="35"/>
  <c r="H11" i="37"/>
  <c r="AB11" i="37"/>
  <c r="AA30" i="33"/>
  <c r="AA36" i="37"/>
  <c r="S42" i="33"/>
  <c r="U32" i="33"/>
  <c r="AB17" i="37"/>
  <c r="AA45" i="33"/>
  <c r="AB45" i="34"/>
  <c r="W44" i="33"/>
  <c r="AC30" i="33"/>
  <c r="W30" i="33"/>
  <c r="AC29" i="37"/>
  <c r="W32" i="36"/>
  <c r="AC32" i="36"/>
  <c r="U28" i="33"/>
  <c r="AB28" i="33"/>
  <c r="J33" i="34"/>
  <c r="AC33" i="34" s="1"/>
  <c r="AB36" i="34"/>
  <c r="J40" i="34"/>
  <c r="W40" i="34"/>
  <c r="F16" i="35"/>
  <c r="AA16" i="35"/>
  <c r="S24" i="36"/>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S33"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c r="H19" i="39"/>
  <c r="J19" i="39"/>
  <c r="W19" i="39" s="1"/>
  <c r="F43" i="39"/>
  <c r="H43" i="39"/>
  <c r="U43" i="39" s="1"/>
  <c r="J43" i="39"/>
  <c r="F99" i="37"/>
  <c r="S45" i="34"/>
  <c r="AC40" i="37"/>
  <c r="S28" i="33"/>
  <c r="S14" i="21"/>
  <c r="U29" i="35"/>
  <c r="U43" i="34"/>
  <c r="AB43" i="34"/>
  <c r="S35" i="37"/>
  <c r="AA32" i="21"/>
  <c r="S32" i="21"/>
  <c r="U38" i="21"/>
  <c r="AB34" i="21"/>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S33" i="39" s="1"/>
  <c r="H33" i="39"/>
  <c r="U33" i="39" s="1"/>
  <c r="J33" i="39"/>
  <c r="W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L567" i="3"/>
  <c r="BL566" i="3"/>
  <c r="BA564" i="3"/>
  <c r="BL554" i="3"/>
  <c r="BA552" i="3"/>
  <c r="BA549" i="3"/>
  <c r="BL547" i="3"/>
  <c r="BL539" i="3"/>
  <c r="BA538" i="3"/>
  <c r="BA537" i="3"/>
  <c r="BA535" i="3"/>
  <c r="BA533" i="3"/>
  <c r="AZ533" i="3" s="1"/>
  <c r="BL531" i="3"/>
  <c r="BA530" i="3"/>
  <c r="AZ530" i="3" s="1"/>
  <c r="BA529" i="3"/>
  <c r="BA527" i="3"/>
  <c r="BA525" i="3"/>
  <c r="BA523" i="3"/>
  <c r="BA522" i="3"/>
  <c r="BL521" i="3"/>
  <c r="BA518" i="3"/>
  <c r="BA517" i="3"/>
  <c r="BA515" i="3"/>
  <c r="BL513" i="3"/>
  <c r="BA511" i="3"/>
  <c r="BL509" i="3"/>
  <c r="BA507" i="3"/>
  <c r="BA506" i="3"/>
  <c r="BA504" i="3"/>
  <c r="BA500" i="3"/>
  <c r="BA499" i="3"/>
  <c r="BL497" i="3"/>
  <c r="BL496" i="3"/>
  <c r="BA495" i="3"/>
  <c r="BL490" i="3"/>
  <c r="BA489" i="3"/>
  <c r="BL486" i="3"/>
  <c r="BA485" i="3"/>
  <c r="BA482"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29" i="74" s="1"/>
  <c r="J42" i="40"/>
  <c r="AC42" i="40" s="1"/>
  <c r="J40" i="40"/>
  <c r="AC40" i="40" s="1"/>
  <c r="J34" i="40"/>
  <c r="AC34" i="40" s="1"/>
  <c r="H16" i="40"/>
  <c r="AB16" i="40" s="1"/>
  <c r="H14" i="40"/>
  <c r="U14" i="40" s="1"/>
  <c r="F32" i="40"/>
  <c r="AA32" i="40" s="1"/>
  <c r="F61" i="46"/>
  <c r="F72" i="46"/>
  <c r="H74" i="46" s="1"/>
  <c r="G74" i="46" s="1"/>
  <c r="M74" i="46" s="1"/>
  <c r="N74" i="46" s="1"/>
  <c r="AZ24" i="3"/>
  <c r="AZ40" i="3"/>
  <c r="AZ56" i="3"/>
  <c r="AZ63" i="3"/>
  <c r="AZ91" i="3"/>
  <c r="AZ107" i="3"/>
  <c r="AZ112" i="3"/>
  <c r="J13" i="40"/>
  <c r="W13" i="40" s="1"/>
  <c r="AB14" i="40"/>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B37" i="39"/>
  <c r="AA29" i="35"/>
  <c r="U39" i="39"/>
  <c r="J29" i="39"/>
  <c r="AC29" i="39" s="1"/>
  <c r="AB21" i="39"/>
  <c r="U21" i="39"/>
  <c r="AB17" i="39"/>
  <c r="AA11" i="36"/>
  <c r="AA14" i="35"/>
  <c r="S14" i="35"/>
  <c r="G99" i="37"/>
  <c r="F33" i="37"/>
  <c r="AA33" i="37" s="1"/>
  <c r="AB19" i="39"/>
  <c r="U19" i="39"/>
  <c r="U46" i="34"/>
  <c r="AC30" i="34"/>
  <c r="AA14" i="34"/>
  <c r="W12" i="34"/>
  <c r="U29" i="33"/>
  <c r="AC13" i="33"/>
  <c r="U17" i="34"/>
  <c r="AA11" i="34"/>
  <c r="W32" i="33"/>
  <c r="H15" i="33"/>
  <c r="U15" i="33" s="1"/>
  <c r="AA11" i="33"/>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AA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7" i="3"/>
  <c r="F3" i="35"/>
  <c r="K1" i="43"/>
  <c r="K1" i="12"/>
  <c r="G1" i="44"/>
  <c r="AZ15" i="3"/>
  <c r="BL18" i="3"/>
  <c r="AZ18" i="3" s="1"/>
  <c r="BS5" i="3"/>
  <c r="BL16" i="3"/>
  <c r="G28" i="12"/>
  <c r="D24" i="44"/>
  <c r="D26" i="44"/>
  <c r="F50" i="46"/>
  <c r="H52" i="46" s="1"/>
  <c r="C6" i="46"/>
  <c r="I5" i="48"/>
  <c r="K21" i="46"/>
  <c r="F42" i="46"/>
  <c r="D87" i="46"/>
  <c r="A4" i="64"/>
  <c r="A4" i="51"/>
  <c r="B6" i="63" s="1"/>
  <c r="C51" i="10"/>
  <c r="A9" i="64" s="1"/>
  <c r="H83" i="46"/>
  <c r="AA12" i="36"/>
  <c r="W11" i="35"/>
  <c r="S14" i="37"/>
  <c r="U13" i="37"/>
  <c r="S13" i="21"/>
  <c r="C24" i="9"/>
  <c r="C25" i="9"/>
  <c r="L5" i="54"/>
  <c r="B39" i="63" s="1"/>
  <c r="K5" i="54"/>
  <c r="B38" i="63" s="1"/>
  <c r="T41" i="4"/>
  <c r="A17" i="64"/>
  <c r="B46" i="50"/>
  <c r="B4" i="63" s="1"/>
  <c r="H89" i="46"/>
  <c r="H90" i="46"/>
  <c r="H86" i="46"/>
  <c r="K10" i="1"/>
  <c r="M10" i="1" s="1"/>
  <c r="S13" i="1"/>
  <c r="R13" i="1"/>
  <c r="B6" i="1"/>
  <c r="E6" i="1" s="1"/>
  <c r="B10" i="1"/>
  <c r="E10" i="1" s="1"/>
  <c r="B8" i="1"/>
  <c r="E8" i="1" s="1"/>
  <c r="B12" i="1"/>
  <c r="E12" i="1" s="1"/>
  <c r="K6" i="1"/>
  <c r="M6" i="1" s="1"/>
  <c r="G1" i="15"/>
  <c r="F66" i="36"/>
  <c r="G66" i="36" s="1"/>
  <c r="H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AC17" i="37"/>
  <c r="W17" i="37"/>
  <c r="U25" i="34"/>
  <c r="AB25" i="34"/>
  <c r="AA25" i="34"/>
  <c r="W25" i="34"/>
  <c r="U23" i="34"/>
  <c r="AB23" i="34"/>
  <c r="AA23" i="34"/>
  <c r="AC23" i="34"/>
  <c r="W23" i="34"/>
  <c r="AA25" i="33"/>
  <c r="S25" i="33"/>
  <c r="U23" i="33"/>
  <c r="W23" i="33"/>
  <c r="S23" i="33"/>
  <c r="AA23" i="33"/>
  <c r="W17" i="33"/>
  <c r="AA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17" i="51"/>
  <c r="B13" i="63"/>
  <c r="AT6" i="3"/>
  <c r="E4" i="4"/>
  <c r="B21" i="55" s="1"/>
  <c r="B72" i="63" s="1"/>
  <c r="C4" i="4"/>
  <c r="B20" i="55" s="1"/>
  <c r="B70" i="63" s="1"/>
  <c r="J18" i="36"/>
  <c r="W18" i="36" s="1"/>
  <c r="L20" i="6"/>
  <c r="C45" i="9"/>
  <c r="B7" i="66" s="1"/>
  <c r="C44" i="9"/>
  <c r="B6" i="66" s="1"/>
  <c r="O40" i="9"/>
  <c r="K31" i="9" s="1"/>
  <c r="K32" i="9" s="1"/>
  <c r="K29" i="9"/>
  <c r="K30" i="9"/>
  <c r="N76" i="9"/>
  <c r="C46" i="9"/>
  <c r="K33" i="9" s="1"/>
  <c r="K34" i="9" s="1"/>
  <c r="O41" i="9"/>
  <c r="B8" i="66"/>
  <c r="R8" i="54"/>
  <c r="B54" i="63" s="1"/>
  <c r="H61" i="4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F38" i="15"/>
  <c r="N7" i="65"/>
  <c r="E14" i="67"/>
  <c r="F40" i="15"/>
  <c r="I4" i="65"/>
  <c r="B14" i="67"/>
  <c r="E9" i="67"/>
  <c r="J15" i="15"/>
  <c r="M31" i="44"/>
  <c r="E12" i="67"/>
  <c r="B12" i="67"/>
  <c r="F40" i="44"/>
  <c r="F13" i="15"/>
  <c r="F10" i="67"/>
  <c r="M29" i="15"/>
  <c r="M26" i="15"/>
  <c r="F28" i="44"/>
  <c r="F6" i="15"/>
  <c r="F9" i="15"/>
  <c r="M11" i="44"/>
  <c r="F14" i="67"/>
  <c r="F8" i="44"/>
  <c r="B8" i="67"/>
  <c r="J17" i="44"/>
  <c r="F9" i="44"/>
  <c r="M8" i="15"/>
  <c r="M28" i="15"/>
  <c r="M26" i="44"/>
  <c r="F36" i="15"/>
  <c r="E13" i="67"/>
  <c r="M22" i="15"/>
  <c r="F11" i="44"/>
  <c r="F26" i="15"/>
  <c r="B10" i="67"/>
  <c r="E10" i="67"/>
  <c r="B13" i="67"/>
  <c r="F16" i="15"/>
  <c r="B9" i="67"/>
  <c r="L48" i="15"/>
  <c r="L48" i="44"/>
  <c r="M8" i="44"/>
  <c r="F15" i="44"/>
  <c r="F43" i="44"/>
  <c r="M9" i="15"/>
  <c r="L49" i="44"/>
  <c r="F45" i="44"/>
  <c r="M25" i="44"/>
  <c r="F7" i="15"/>
  <c r="B11" i="67"/>
  <c r="F11" i="67"/>
  <c r="F42" i="15"/>
  <c r="M24" i="15"/>
  <c r="J36" i="15"/>
  <c r="M24" i="44"/>
  <c r="F10" i="44"/>
  <c r="F12" i="67"/>
  <c r="F38" i="44"/>
  <c r="F8" i="15"/>
  <c r="F13" i="67"/>
  <c r="I6" i="65"/>
  <c r="F8" i="67"/>
  <c r="M6" i="15"/>
  <c r="N6" i="65"/>
  <c r="F43" i="15"/>
  <c r="F39" i="44"/>
  <c r="M23" i="15"/>
  <c r="I3" i="65"/>
  <c r="I7" i="65"/>
  <c r="F18" i="44"/>
  <c r="L47" i="15"/>
  <c r="M10" i="44"/>
  <c r="N3" i="65"/>
  <c r="E8" i="67"/>
  <c r="J3" i="65"/>
  <c r="M30" i="44"/>
  <c r="N5" i="65"/>
  <c r="F37" i="15"/>
  <c r="E11" i="67"/>
  <c r="N4" i="65"/>
  <c r="F9" i="67"/>
  <c r="M28" i="44"/>
  <c r="D18" i="9" l="1"/>
  <c r="M44" i="9" s="1"/>
  <c r="M43" i="9"/>
  <c r="AZ485" i="3"/>
  <c r="AZ538" i="3"/>
  <c r="AZ552" i="3"/>
  <c r="AZ378" i="3"/>
  <c r="AZ359" i="3"/>
  <c r="AZ339" i="3"/>
  <c r="AZ19" i="3"/>
  <c r="BL570" i="3"/>
  <c r="BP5" i="3"/>
  <c r="BN5" i="3"/>
  <c r="BK5" i="3"/>
  <c r="G569" i="3"/>
  <c r="BA568" i="3"/>
  <c r="AZ568" i="3" s="1"/>
  <c r="G568" i="3"/>
  <c r="BA567" i="3"/>
  <c r="G563" i="3"/>
  <c r="G562" i="3"/>
  <c r="BL561" i="3"/>
  <c r="BA561" i="3"/>
  <c r="BA560" i="3"/>
  <c r="AZ560" i="3" s="1"/>
  <c r="BL559" i="3"/>
  <c r="G558" i="3"/>
  <c r="BA557" i="3"/>
  <c r="G552" i="3"/>
  <c r="AZ500" i="3"/>
  <c r="AZ559" i="3"/>
  <c r="AC5" i="3"/>
  <c r="BA566" i="3"/>
  <c r="BL565" i="3"/>
  <c r="AZ565" i="3" s="1"/>
  <c r="BA563" i="3"/>
  <c r="AZ563" i="3" s="1"/>
  <c r="BA554" i="3"/>
  <c r="BA553" i="3"/>
  <c r="AZ553" i="3" s="1"/>
  <c r="BA540" i="3"/>
  <c r="BA539" i="3"/>
  <c r="AZ539" i="3" s="1"/>
  <c r="BL537" i="3"/>
  <c r="BL536" i="3"/>
  <c r="AZ536" i="3" s="1"/>
  <c r="BL535" i="3"/>
  <c r="BL529" i="3"/>
  <c r="BL528" i="3"/>
  <c r="BL523" i="3"/>
  <c r="BL522" i="3"/>
  <c r="AZ522" i="3" s="1"/>
  <c r="BA510" i="3"/>
  <c r="BA509" i="3"/>
  <c r="BA508" i="3"/>
  <c r="AZ508" i="3" s="1"/>
  <c r="BL507" i="3"/>
  <c r="BL506" i="3"/>
  <c r="BL505" i="3"/>
  <c r="AZ505" i="3" s="1"/>
  <c r="BL495" i="3"/>
  <c r="BA494" i="3"/>
  <c r="AZ494" i="3" s="1"/>
  <c r="BL493" i="3"/>
  <c r="AZ493" i="3" s="1"/>
  <c r="BA491" i="3"/>
  <c r="AZ491" i="3" s="1"/>
  <c r="BA490" i="3"/>
  <c r="AZ490" i="3" s="1"/>
  <c r="BL489" i="3"/>
  <c r="BA488" i="3"/>
  <c r="BL487" i="3"/>
  <c r="BL551" i="3"/>
  <c r="BL549" i="3"/>
  <c r="G549" i="3"/>
  <c r="BA548" i="3"/>
  <c r="BA547" i="3"/>
  <c r="AZ547" i="3" s="1"/>
  <c r="G546" i="3"/>
  <c r="BA543" i="3"/>
  <c r="G535" i="3"/>
  <c r="BA534" i="3"/>
  <c r="G533" i="3"/>
  <c r="BA532" i="3"/>
  <c r="G528" i="3"/>
  <c r="BA526" i="3"/>
  <c r="G526" i="3"/>
  <c r="BL525" i="3"/>
  <c r="G520" i="3"/>
  <c r="BA519" i="3"/>
  <c r="AZ519" i="3" s="1"/>
  <c r="BL518" i="3"/>
  <c r="BL517" i="3"/>
  <c r="BA516" i="3"/>
  <c r="BL515" i="3"/>
  <c r="AZ515" i="3" s="1"/>
  <c r="G515" i="3"/>
  <c r="BA514" i="3"/>
  <c r="G514" i="3"/>
  <c r="BA513" i="3"/>
  <c r="AZ513" i="3" s="1"/>
  <c r="G513" i="3"/>
  <c r="G504" i="3"/>
  <c r="BA503" i="3"/>
  <c r="BL501" i="3"/>
  <c r="BA501" i="3"/>
  <c r="G501" i="3"/>
  <c r="BL499" i="3"/>
  <c r="G499" i="3"/>
  <c r="BL498" i="3"/>
  <c r="AZ498" i="3" s="1"/>
  <c r="BA498" i="3"/>
  <c r="G498" i="3"/>
  <c r="BA497" i="3"/>
  <c r="BA496" i="3"/>
  <c r="G487" i="3"/>
  <c r="BA486" i="3"/>
  <c r="G485" i="3"/>
  <c r="G484" i="3"/>
  <c r="BL483" i="3"/>
  <c r="BA483" i="3"/>
  <c r="BL481" i="3"/>
  <c r="BA481" i="3"/>
  <c r="BA20" i="3"/>
  <c r="G15" i="3"/>
  <c r="BA16" i="3"/>
  <c r="AZ16" i="3" s="1"/>
  <c r="BA14" i="3"/>
  <c r="AZ14" i="3" s="1"/>
  <c r="BR5" i="3"/>
  <c r="BQ5" i="3"/>
  <c r="F28" i="6" s="1"/>
  <c r="BL17" i="3"/>
  <c r="BM5" i="3"/>
  <c r="BL389" i="3"/>
  <c r="G390" i="3"/>
  <c r="BL391" i="3"/>
  <c r="G392" i="3"/>
  <c r="BL393" i="3"/>
  <c r="G394" i="3"/>
  <c r="BA395" i="3"/>
  <c r="G396" i="3"/>
  <c r="BA397" i="3"/>
  <c r="G398" i="3"/>
  <c r="BA399" i="3"/>
  <c r="G400" i="3"/>
  <c r="BL401" i="3"/>
  <c r="G402" i="3"/>
  <c r="BA403" i="3"/>
  <c r="G404" i="3"/>
  <c r="BA405" i="3"/>
  <c r="G406" i="3"/>
  <c r="BL407" i="3"/>
  <c r="G408" i="3"/>
  <c r="BL409" i="3"/>
  <c r="G410" i="3"/>
  <c r="BA411" i="3"/>
  <c r="G412" i="3"/>
  <c r="BA413" i="3"/>
  <c r="G414" i="3"/>
  <c r="BA415" i="3"/>
  <c r="G416" i="3"/>
  <c r="BA417" i="3"/>
  <c r="G418" i="3"/>
  <c r="BL419" i="3"/>
  <c r="G420" i="3"/>
  <c r="BL421" i="3"/>
  <c r="G422" i="3"/>
  <c r="BL423" i="3"/>
  <c r="G424" i="3"/>
  <c r="BL425" i="3"/>
  <c r="G426" i="3"/>
  <c r="BA427" i="3"/>
  <c r="G428" i="3"/>
  <c r="BL429" i="3"/>
  <c r="G430" i="3"/>
  <c r="BL431" i="3"/>
  <c r="G432" i="3"/>
  <c r="BA433" i="3"/>
  <c r="G434" i="3"/>
  <c r="BL435" i="3"/>
  <c r="G436" i="3"/>
  <c r="BA437" i="3"/>
  <c r="G438" i="3"/>
  <c r="BA439" i="3"/>
  <c r="G440" i="3"/>
  <c r="BL441" i="3"/>
  <c r="G442" i="3"/>
  <c r="BA443" i="3"/>
  <c r="G444" i="3"/>
  <c r="BL445" i="3"/>
  <c r="G446" i="3"/>
  <c r="BA447" i="3"/>
  <c r="G448" i="3"/>
  <c r="BL449" i="3"/>
  <c r="G450" i="3"/>
  <c r="BA451" i="3"/>
  <c r="G452" i="3"/>
  <c r="BL453" i="3"/>
  <c r="G454" i="3"/>
  <c r="BL455" i="3"/>
  <c r="G456" i="3"/>
  <c r="BA457" i="3"/>
  <c r="G458" i="3"/>
  <c r="BA459" i="3"/>
  <c r="G460" i="3"/>
  <c r="BL461" i="3"/>
  <c r="G462" i="3"/>
  <c r="BA463" i="3"/>
  <c r="G464" i="3"/>
  <c r="BA465" i="3"/>
  <c r="G466" i="3"/>
  <c r="BA467" i="3"/>
  <c r="G468" i="3"/>
  <c r="BL469" i="3"/>
  <c r="G470" i="3"/>
  <c r="BA471" i="3"/>
  <c r="G472" i="3"/>
  <c r="BA473" i="3"/>
  <c r="G474" i="3"/>
  <c r="BA475" i="3"/>
  <c r="G476" i="3"/>
  <c r="BL477" i="3"/>
  <c r="G478" i="3"/>
  <c r="BA479" i="3"/>
  <c r="G480" i="3"/>
  <c r="BA297" i="3"/>
  <c r="AZ297" i="3" s="1"/>
  <c r="BA301" i="3"/>
  <c r="AZ301" i="3" s="1"/>
  <c r="G309" i="3"/>
  <c r="G311" i="3"/>
  <c r="BL312" i="3"/>
  <c r="AZ312" i="3" s="1"/>
  <c r="BA313" i="3"/>
  <c r="BA315" i="3"/>
  <c r="AZ315" i="3" s="1"/>
  <c r="G320" i="3"/>
  <c r="BA321" i="3"/>
  <c r="AZ321" i="3" s="1"/>
  <c r="BA325" i="3"/>
  <c r="AZ325" i="3" s="1"/>
  <c r="G333" i="3"/>
  <c r="BA334" i="3"/>
  <c r="AZ334" i="3" s="1"/>
  <c r="BL334" i="3"/>
  <c r="G345" i="3"/>
  <c r="BL346" i="3"/>
  <c r="AZ346" i="3" s="1"/>
  <c r="G352" i="3"/>
  <c r="BA353" i="3"/>
  <c r="AZ353" i="3" s="1"/>
  <c r="BA357" i="3"/>
  <c r="G370" i="3"/>
  <c r="BA280" i="3"/>
  <c r="AZ280" i="3" s="1"/>
  <c r="BL281" i="3"/>
  <c r="BA282" i="3"/>
  <c r="AZ282" i="3" s="1"/>
  <c r="BA283" i="3"/>
  <c r="BL283" i="3"/>
  <c r="BL285" i="3"/>
  <c r="BA286" i="3"/>
  <c r="AZ286" i="3" s="1"/>
  <c r="BA287" i="3"/>
  <c r="BL287" i="3"/>
  <c r="BA288" i="3"/>
  <c r="AZ288" i="3" s="1"/>
  <c r="BL289" i="3"/>
  <c r="BA290" i="3"/>
  <c r="AZ290" i="3" s="1"/>
  <c r="BA291" i="3"/>
  <c r="AZ291" i="3" s="1"/>
  <c r="BL291" i="3"/>
  <c r="BL293" i="3"/>
  <c r="BA295" i="3"/>
  <c r="BL295" i="3"/>
  <c r="BA296" i="3"/>
  <c r="AZ296" i="3" s="1"/>
  <c r="BA113" i="3"/>
  <c r="AZ113" i="3" s="1"/>
  <c r="BL113" i="3"/>
  <c r="G118" i="3"/>
  <c r="BA119" i="3"/>
  <c r="AZ119" i="3" s="1"/>
  <c r="G122" i="3"/>
  <c r="BA123" i="3"/>
  <c r="AZ123" i="3" s="1"/>
  <c r="G126" i="3"/>
  <c r="BA127" i="3"/>
  <c r="AZ127" i="3" s="1"/>
  <c r="G130" i="3"/>
  <c r="BA148" i="3"/>
  <c r="G149" i="3"/>
  <c r="G151" i="3"/>
  <c r="G153" i="3"/>
  <c r="BA154" i="3"/>
  <c r="AZ154" i="3" s="1"/>
  <c r="G160" i="3"/>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BL195" i="3"/>
  <c r="G200" i="3"/>
  <c r="I4" i="6"/>
  <c r="G19" i="3"/>
  <c r="BC5" i="3"/>
  <c r="AZ481" i="3"/>
  <c r="AZ17" i="3"/>
  <c r="AZ486" i="3"/>
  <c r="AZ489" i="3"/>
  <c r="AZ495" i="3"/>
  <c r="AZ497" i="3"/>
  <c r="AZ499" i="3"/>
  <c r="AZ507" i="3"/>
  <c r="AZ509" i="3"/>
  <c r="AZ517" i="3"/>
  <c r="AZ518" i="3"/>
  <c r="AZ525" i="3"/>
  <c r="AZ529" i="3"/>
  <c r="AZ535" i="3"/>
  <c r="AZ549" i="3"/>
  <c r="AZ554" i="3"/>
  <c r="AZ566" i="3"/>
  <c r="AZ379" i="3"/>
  <c r="AZ504" i="3"/>
  <c r="AZ516" i="3"/>
  <c r="AZ558" i="3"/>
  <c r="AZ551" i="3"/>
  <c r="AZ526" i="3"/>
  <c r="AZ548" i="3"/>
  <c r="AZ352" i="3"/>
  <c r="AZ344" i="3"/>
  <c r="AZ300" i="3"/>
  <c r="AZ347" i="3"/>
  <c r="AZ331" i="3"/>
  <c r="AZ323" i="3"/>
  <c r="AZ343" i="3"/>
  <c r="AZ327" i="3"/>
  <c r="AZ322" i="3"/>
  <c r="BL482" i="3"/>
  <c r="AZ482" i="3" s="1"/>
  <c r="BL514" i="3"/>
  <c r="BL524" i="3"/>
  <c r="BL532" i="3"/>
  <c r="BL564" i="3"/>
  <c r="AZ564" i="3" s="1"/>
  <c r="G559" i="3"/>
  <c r="G557" i="3"/>
  <c r="G556" i="3"/>
  <c r="G551" i="3"/>
  <c r="G550" i="3"/>
  <c r="G547" i="3"/>
  <c r="G545" i="3"/>
  <c r="G544" i="3"/>
  <c r="G536" i="3"/>
  <c r="G534" i="3"/>
  <c r="G532" i="3"/>
  <c r="G524" i="3"/>
  <c r="G521" i="3"/>
  <c r="G512" i="3"/>
  <c r="G505" i="3"/>
  <c r="G497" i="3"/>
  <c r="G489" i="3"/>
  <c r="G488" i="3"/>
  <c r="G481" i="3"/>
  <c r="G16" i="3"/>
  <c r="BA389" i="3"/>
  <c r="AZ389" i="3" s="1"/>
  <c r="BL390" i="3"/>
  <c r="BA391" i="3"/>
  <c r="AZ391" i="3" s="1"/>
  <c r="BA392" i="3"/>
  <c r="BL392" i="3"/>
  <c r="BA393" i="3"/>
  <c r="AZ393" i="3" s="1"/>
  <c r="BL394" i="3"/>
  <c r="BL396" i="3"/>
  <c r="BA398" i="3"/>
  <c r="BL398" i="3"/>
  <c r="BL400" i="3"/>
  <c r="BA401" i="3"/>
  <c r="AZ401" i="3" s="1"/>
  <c r="BA402" i="3"/>
  <c r="BL402" i="3"/>
  <c r="BL404" i="3"/>
  <c r="BL406" i="3"/>
  <c r="BA407" i="3"/>
  <c r="AZ407" i="3" s="1"/>
  <c r="BA408" i="3"/>
  <c r="BL408" i="3"/>
  <c r="BA409" i="3"/>
  <c r="AZ409" i="3" s="1"/>
  <c r="BL410" i="3"/>
  <c r="BL412" i="3"/>
  <c r="BA414" i="3"/>
  <c r="BL414" i="3"/>
  <c r="BL416" i="3"/>
  <c r="BA418" i="3"/>
  <c r="BL418" i="3"/>
  <c r="BA419" i="3"/>
  <c r="AZ419" i="3" s="1"/>
  <c r="BA420" i="3"/>
  <c r="BL420" i="3"/>
  <c r="BA421" i="3"/>
  <c r="AZ421" i="3" s="1"/>
  <c r="BL422" i="3"/>
  <c r="BA423" i="3"/>
  <c r="AZ423" i="3" s="1"/>
  <c r="BA424" i="3"/>
  <c r="BL424" i="3"/>
  <c r="BA425" i="3"/>
  <c r="AZ425" i="3" s="1"/>
  <c r="BL426" i="3"/>
  <c r="BA428" i="3"/>
  <c r="BL428" i="3"/>
  <c r="BA429" i="3"/>
  <c r="AZ429" i="3" s="1"/>
  <c r="BL430" i="3"/>
  <c r="BA431" i="3"/>
  <c r="AZ431" i="3" s="1"/>
  <c r="BA432" i="3"/>
  <c r="BL432" i="3"/>
  <c r="BA434" i="3"/>
  <c r="BL434" i="3"/>
  <c r="BA435" i="3"/>
  <c r="AZ435" i="3" s="1"/>
  <c r="BL436" i="3"/>
  <c r="BA438" i="3"/>
  <c r="BL438" i="3"/>
  <c r="BL440" i="3"/>
  <c r="BA441" i="3"/>
  <c r="AZ441" i="3" s="1"/>
  <c r="BL442" i="3"/>
  <c r="BA444" i="3"/>
  <c r="BL444" i="3"/>
  <c r="BA445" i="3"/>
  <c r="AZ445" i="3" s="1"/>
  <c r="BL446" i="3"/>
  <c r="BL448" i="3"/>
  <c r="BA449" i="3"/>
  <c r="AZ449" i="3" s="1"/>
  <c r="BL450" i="3"/>
  <c r="BA452" i="3"/>
  <c r="BL452" i="3"/>
  <c r="BA453" i="3"/>
  <c r="AZ453" i="3" s="1"/>
  <c r="BL454" i="3"/>
  <c r="BA455" i="3"/>
  <c r="AZ455" i="3" s="1"/>
  <c r="BL456" i="3"/>
  <c r="BA458" i="3"/>
  <c r="BL458" i="3"/>
  <c r="BL460" i="3"/>
  <c r="BA461" i="3"/>
  <c r="AZ461" i="3" s="1"/>
  <c r="BA462" i="3"/>
  <c r="BL462" i="3"/>
  <c r="BL464" i="3"/>
  <c r="BA466" i="3"/>
  <c r="BL466" i="3"/>
  <c r="BL468" i="3"/>
  <c r="BA469" i="3"/>
  <c r="AZ469" i="3" s="1"/>
  <c r="BA470" i="3"/>
  <c r="BL470" i="3"/>
  <c r="BL472" i="3"/>
  <c r="BA474" i="3"/>
  <c r="BL474" i="3"/>
  <c r="BL476" i="3"/>
  <c r="BA477" i="3"/>
  <c r="AZ477" i="3" s="1"/>
  <c r="BA478" i="3"/>
  <c r="BL478" i="3"/>
  <c r="BL480" i="3"/>
  <c r="G301" i="3"/>
  <c r="BL302" i="3"/>
  <c r="AZ302" i="3" s="1"/>
  <c r="BL308" i="3"/>
  <c r="AZ308" i="3" s="1"/>
  <c r="BA309" i="3"/>
  <c r="AZ309" i="3" s="1"/>
  <c r="BA311" i="3"/>
  <c r="AZ311" i="3" s="1"/>
  <c r="G315" i="3"/>
  <c r="BL316" i="3"/>
  <c r="AZ316" i="3" s="1"/>
  <c r="BA317" i="3"/>
  <c r="AZ317" i="3" s="1"/>
  <c r="BL319" i="3"/>
  <c r="G325" i="3"/>
  <c r="BL326" i="3"/>
  <c r="AZ326" i="3" s="1"/>
  <c r="BL332" i="3"/>
  <c r="AZ332" i="3" s="1"/>
  <c r="BA333" i="3"/>
  <c r="BL335" i="3"/>
  <c r="G341" i="3"/>
  <c r="BL342" i="3"/>
  <c r="AZ342" i="3" s="1"/>
  <c r="BL348" i="3"/>
  <c r="AZ348" i="3" s="1"/>
  <c r="BA349" i="3"/>
  <c r="AZ349" i="3" s="1"/>
  <c r="BL351" i="3"/>
  <c r="G363" i="3"/>
  <c r="BL364" i="3"/>
  <c r="BA367" i="3"/>
  <c r="AZ367" i="3" s="1"/>
  <c r="BA369" i="3"/>
  <c r="BL369" i="3"/>
  <c r="BA375" i="3"/>
  <c r="G383" i="3"/>
  <c r="BL384" i="3"/>
  <c r="G387" i="3"/>
  <c r="G205" i="3"/>
  <c r="G207" i="3"/>
  <c r="G209" i="3"/>
  <c r="G211" i="3"/>
  <c r="G213" i="3"/>
  <c r="G215" i="3"/>
  <c r="G217" i="3"/>
  <c r="G219" i="3"/>
  <c r="G221" i="3"/>
  <c r="G223" i="3"/>
  <c r="G225" i="3"/>
  <c r="G227" i="3"/>
  <c r="G229"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113" i="3"/>
  <c r="G115" i="3"/>
  <c r="BL117" i="3"/>
  <c r="BL118" i="3"/>
  <c r="AZ118" i="3" s="1"/>
  <c r="BA120" i="3"/>
  <c r="AZ120" i="3" s="1"/>
  <c r="BL121" i="3"/>
  <c r="BL122" i="3"/>
  <c r="AZ122" i="3" s="1"/>
  <c r="BL125" i="3"/>
  <c r="BL126" i="3"/>
  <c r="AZ126" i="3" s="1"/>
  <c r="BA128" i="3"/>
  <c r="AZ128" i="3" s="1"/>
  <c r="BA129" i="3"/>
  <c r="BL129" i="3"/>
  <c r="G133" i="3"/>
  <c r="G137" i="3"/>
  <c r="G141" i="3"/>
  <c r="G145" i="3"/>
  <c r="G147" i="3"/>
  <c r="BL149" i="3"/>
  <c r="BL150" i="3"/>
  <c r="AZ150" i="3" s="1"/>
  <c r="BL152" i="3"/>
  <c r="BL153" i="3"/>
  <c r="AZ153" i="3" s="1"/>
  <c r="BA155" i="3"/>
  <c r="AZ155" i="3" s="1"/>
  <c r="BA156" i="3"/>
  <c r="BL156" i="3"/>
  <c r="G157" i="3"/>
  <c r="BA159" i="3"/>
  <c r="BL159" i="3"/>
  <c r="BA160" i="3"/>
  <c r="AZ160"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G99" i="3"/>
  <c r="G101" i="3"/>
  <c r="G103" i="3"/>
  <c r="G105" i="3"/>
  <c r="G107" i="3"/>
  <c r="G109" i="3"/>
  <c r="G111" i="3"/>
  <c r="G20" i="3"/>
  <c r="E32" i="6"/>
  <c r="C9" i="74"/>
  <c r="C10" i="74" s="1"/>
  <c r="C6" i="74" s="1"/>
  <c r="C24" i="74" s="1"/>
  <c r="K74" i="46"/>
  <c r="G28" i="74"/>
  <c r="G26" i="74"/>
  <c r="G27" i="74"/>
  <c r="M20" i="44"/>
  <c r="F72" i="9"/>
  <c r="K1" i="74"/>
  <c r="G14" i="3"/>
  <c r="BB5" i="3"/>
  <c r="E8" i="6" s="1"/>
  <c r="E53" i="40" s="1"/>
  <c r="F29" i="6"/>
  <c r="H72" i="46"/>
  <c r="G72" i="46" s="1"/>
  <c r="H88" i="46"/>
  <c r="H85" i="46"/>
  <c r="H87" i="46"/>
  <c r="AC13" i="21"/>
  <c r="W13" i="21"/>
  <c r="AB27" i="21"/>
  <c r="U27" i="21"/>
  <c r="U29" i="21"/>
  <c r="AB29" i="21"/>
  <c r="AC31" i="21"/>
  <c r="W31" i="21"/>
  <c r="AA45" i="21"/>
  <c r="S45" i="21"/>
  <c r="F20" i="59"/>
  <c r="F19" i="59" s="1"/>
  <c r="F18" i="59" s="1"/>
  <c r="F17" i="59" s="1"/>
  <c r="V21" i="59"/>
  <c r="AZ534" i="3"/>
  <c r="AZ542" i="3"/>
  <c r="AC35" i="35"/>
  <c r="W35" i="35"/>
  <c r="AA25" i="35"/>
  <c r="S25" i="35"/>
  <c r="AB31" i="34"/>
  <c r="U31" i="34"/>
  <c r="AC46" i="33"/>
  <c r="W46" i="33"/>
  <c r="U40" i="37"/>
  <c r="AB40" i="37"/>
  <c r="AC37" i="37"/>
  <c r="W37" i="37"/>
  <c r="W11" i="36"/>
  <c r="AC11" i="36"/>
  <c r="W29" i="33"/>
  <c r="AC29" i="33"/>
  <c r="S27" i="33"/>
  <c r="AA27" i="33"/>
  <c r="W45" i="21"/>
  <c r="AC45" i="21"/>
  <c r="U13" i="21"/>
  <c r="AB13" i="21"/>
  <c r="W34" i="37"/>
  <c r="AC34" i="37"/>
  <c r="AA19" i="21"/>
  <c r="S19" i="21"/>
  <c r="AB39" i="21"/>
  <c r="U39" i="21"/>
  <c r="S38" i="21"/>
  <c r="AA38" i="21"/>
  <c r="BL572" i="3"/>
  <c r="BA571" i="3"/>
  <c r="AZ571" i="3" s="1"/>
  <c r="BH5" i="3"/>
  <c r="BF5" i="3"/>
  <c r="U8" i="34"/>
  <c r="AB8" i="34"/>
  <c r="U30" i="36"/>
  <c r="AB30" i="36"/>
  <c r="BL569" i="3"/>
  <c r="BA569" i="3"/>
  <c r="AZ569" i="3" s="1"/>
  <c r="BL557" i="3"/>
  <c r="BA556" i="3"/>
  <c r="AZ556" i="3" s="1"/>
  <c r="BL555" i="3"/>
  <c r="BA555" i="3"/>
  <c r="AZ555" i="3" s="1"/>
  <c r="BL550" i="3"/>
  <c r="BA550" i="3"/>
  <c r="AZ550" i="3" s="1"/>
  <c r="BL545" i="3"/>
  <c r="BA545" i="3"/>
  <c r="AZ545" i="3" s="1"/>
  <c r="BA544" i="3"/>
  <c r="AZ544" i="3" s="1"/>
  <c r="BL543" i="3"/>
  <c r="AZ543" i="3" s="1"/>
  <c r="BL541" i="3"/>
  <c r="BA541" i="3"/>
  <c r="AZ541" i="3" s="1"/>
  <c r="BA528" i="3"/>
  <c r="AZ528" i="3" s="1"/>
  <c r="BL527" i="3"/>
  <c r="AZ527" i="3" s="1"/>
  <c r="BA521" i="3"/>
  <c r="AZ521" i="3" s="1"/>
  <c r="BA520" i="3"/>
  <c r="AZ520" i="3" s="1"/>
  <c r="BL511" i="3"/>
  <c r="AZ511" i="3" s="1"/>
  <c r="BL503" i="3"/>
  <c r="AZ503" i="3" s="1"/>
  <c r="BL488" i="3"/>
  <c r="BA487" i="3"/>
  <c r="AZ487" i="3" s="1"/>
  <c r="AC18" i="36"/>
  <c r="C22" i="59"/>
  <c r="G29" i="6"/>
  <c r="AB15" i="33"/>
  <c r="AC35" i="33"/>
  <c r="AB41" i="33"/>
  <c r="U22" i="35"/>
  <c r="S17" i="34"/>
  <c r="AB29" i="39"/>
  <c r="U30" i="40"/>
  <c r="AA41" i="33"/>
  <c r="U47" i="39"/>
  <c r="AC16" i="40"/>
  <c r="U16" i="40"/>
  <c r="AA40" i="21"/>
  <c r="AB33" i="36"/>
  <c r="W14" i="39"/>
  <c r="S23" i="39"/>
  <c r="W40" i="40"/>
  <c r="AZ483" i="3"/>
  <c r="AZ496" i="3"/>
  <c r="AZ506" i="3"/>
  <c r="AZ510" i="3"/>
  <c r="AZ523" i="3"/>
  <c r="AZ537" i="3"/>
  <c r="AZ567" i="3"/>
  <c r="W19" i="33"/>
  <c r="AA44" i="34"/>
  <c r="AC27" i="37"/>
  <c r="W9" i="21"/>
  <c r="AB35" i="35"/>
  <c r="AB16" i="35"/>
  <c r="AZ370" i="3"/>
  <c r="AZ299" i="3"/>
  <c r="AZ377" i="3"/>
  <c r="U15" i="37"/>
  <c r="AB15" i="37"/>
  <c r="AB12" i="37"/>
  <c r="U12" i="37"/>
  <c r="S27" i="37"/>
  <c r="W23" i="37"/>
  <c r="AC23" i="37"/>
  <c r="AZ488" i="3"/>
  <c r="AZ540" i="3"/>
  <c r="AZ501" i="3"/>
  <c r="AZ557" i="3"/>
  <c r="AC28" i="33"/>
  <c r="AB31" i="33"/>
  <c r="AC13" i="36"/>
  <c r="W14" i="21"/>
  <c r="AB31" i="21"/>
  <c r="AA38" i="37"/>
  <c r="W14" i="37"/>
  <c r="AC14" i="37"/>
  <c r="AB25" i="35"/>
  <c r="U25" i="35"/>
  <c r="AC31" i="34"/>
  <c r="W31" i="34"/>
  <c r="S13" i="33"/>
  <c r="AA13" i="33"/>
  <c r="J27" i="33"/>
  <c r="F31" i="21"/>
  <c r="F27" i="21"/>
  <c r="AA37" i="34"/>
  <c r="S37" i="34"/>
  <c r="F9" i="21"/>
  <c r="H9" i="21"/>
  <c r="H12" i="35"/>
  <c r="J12" i="35"/>
  <c r="F12" i="35"/>
  <c r="F11" i="35"/>
  <c r="H11" i="35"/>
  <c r="AB26" i="36"/>
  <c r="U26" i="36"/>
  <c r="AZ356" i="3"/>
  <c r="AZ345" i="3"/>
  <c r="AZ340" i="3"/>
  <c r="AZ329" i="3"/>
  <c r="AZ324" i="3"/>
  <c r="AZ305" i="3"/>
  <c r="AZ381" i="3"/>
  <c r="AZ372" i="3"/>
  <c r="AZ355" i="3"/>
  <c r="AZ307" i="3"/>
  <c r="BL20" i="3"/>
  <c r="AZ514" i="3"/>
  <c r="AZ524" i="3"/>
  <c r="AZ532" i="3"/>
  <c r="BL546" i="3"/>
  <c r="AZ546" i="3" s="1"/>
  <c r="AZ502" i="3"/>
  <c r="B73" i="46"/>
  <c r="C23" i="39"/>
  <c r="B94" i="46"/>
  <c r="B84" i="46"/>
  <c r="J9" i="33"/>
  <c r="H9" i="33"/>
  <c r="F9" i="33"/>
  <c r="AC8" i="34"/>
  <c r="W8" i="34"/>
  <c r="AC39" i="34"/>
  <c r="W39" i="34"/>
  <c r="J39" i="37"/>
  <c r="F39" i="37"/>
  <c r="H39" i="37"/>
  <c r="H5" i="3"/>
  <c r="BA572" i="3"/>
  <c r="AZ572" i="3" s="1"/>
  <c r="BA570" i="3"/>
  <c r="AZ570" i="3" s="1"/>
  <c r="BE5" i="3"/>
  <c r="B79" i="46"/>
  <c r="B101" i="46"/>
  <c r="H26" i="37"/>
  <c r="F26" i="37"/>
  <c r="J34" i="35"/>
  <c r="H34" i="35"/>
  <c r="F34" i="35"/>
  <c r="G553" i="3"/>
  <c r="G548" i="3"/>
  <c r="G527" i="3"/>
  <c r="G519" i="3"/>
  <c r="G503" i="3"/>
  <c r="G495" i="3"/>
  <c r="G486" i="3"/>
  <c r="BA390" i="3"/>
  <c r="AZ390" i="3" s="1"/>
  <c r="BA394" i="3"/>
  <c r="AZ394" i="3" s="1"/>
  <c r="BL395" i="3"/>
  <c r="BA396" i="3"/>
  <c r="AZ396" i="3" s="1"/>
  <c r="BL397" i="3"/>
  <c r="BL399" i="3"/>
  <c r="AZ399" i="3" s="1"/>
  <c r="BA400" i="3"/>
  <c r="BL403" i="3"/>
  <c r="AZ403" i="3" s="1"/>
  <c r="BA404" i="3"/>
  <c r="BL405" i="3"/>
  <c r="BA406" i="3"/>
  <c r="AZ406" i="3" s="1"/>
  <c r="BA410" i="3"/>
  <c r="AZ410" i="3" s="1"/>
  <c r="BL411" i="3"/>
  <c r="BA412" i="3"/>
  <c r="AZ412" i="3" s="1"/>
  <c r="BL413" i="3"/>
  <c r="BL415" i="3"/>
  <c r="AZ415" i="3" s="1"/>
  <c r="BA416" i="3"/>
  <c r="BL417" i="3"/>
  <c r="AZ417" i="3" s="1"/>
  <c r="BA422" i="3"/>
  <c r="AZ422" i="3" s="1"/>
  <c r="BA426" i="3"/>
  <c r="AZ426" i="3" s="1"/>
  <c r="BL427" i="3"/>
  <c r="BA430" i="3"/>
  <c r="AZ430" i="3" s="1"/>
  <c r="BL433" i="3"/>
  <c r="AZ433" i="3" s="1"/>
  <c r="BA436" i="3"/>
  <c r="AZ436" i="3" s="1"/>
  <c r="BL437" i="3"/>
  <c r="BL439" i="3"/>
  <c r="AZ439" i="3" s="1"/>
  <c r="BA440" i="3"/>
  <c r="BA442" i="3"/>
  <c r="AZ442" i="3" s="1"/>
  <c r="BL443" i="3"/>
  <c r="BA446" i="3"/>
  <c r="AZ446" i="3" s="1"/>
  <c r="BL447" i="3"/>
  <c r="BA448" i="3"/>
  <c r="AZ448" i="3" s="1"/>
  <c r="BA450" i="3"/>
  <c r="AZ450" i="3" s="1"/>
  <c r="BL451" i="3"/>
  <c r="AZ451" i="3" s="1"/>
  <c r="BA454" i="3"/>
  <c r="AZ454" i="3" s="1"/>
  <c r="BA456" i="3"/>
  <c r="AZ456" i="3" s="1"/>
  <c r="BL457" i="3"/>
  <c r="BL459" i="3"/>
  <c r="AZ459" i="3" s="1"/>
  <c r="BA460" i="3"/>
  <c r="BL463" i="3"/>
  <c r="AZ463" i="3" s="1"/>
  <c r="BA464" i="3"/>
  <c r="BL465" i="3"/>
  <c r="AZ465" i="3" s="1"/>
  <c r="BL467" i="3"/>
  <c r="AZ467" i="3" s="1"/>
  <c r="BA468" i="3"/>
  <c r="AZ468" i="3" s="1"/>
  <c r="BL471" i="3"/>
  <c r="AZ471" i="3" s="1"/>
  <c r="BA472" i="3"/>
  <c r="AZ472" i="3" s="1"/>
  <c r="BL473" i="3"/>
  <c r="BL475" i="3"/>
  <c r="AZ475" i="3" s="1"/>
  <c r="BA476" i="3"/>
  <c r="BL479" i="3"/>
  <c r="AZ479" i="3" s="1"/>
  <c r="BA480" i="3"/>
  <c r="BL310" i="3"/>
  <c r="AZ310" i="3" s="1"/>
  <c r="BL314" i="3"/>
  <c r="AZ314" i="3" s="1"/>
  <c r="BA319" i="3"/>
  <c r="AZ319" i="3" s="1"/>
  <c r="BA335" i="3"/>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AZ208" i="3" s="1"/>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BL124" i="3"/>
  <c r="AZ124" i="3" s="1"/>
  <c r="BA125" i="3"/>
  <c r="BA131" i="3"/>
  <c r="AZ131" i="3" s="1"/>
  <c r="BL132" i="3"/>
  <c r="BA133" i="3"/>
  <c r="AZ133" i="3" s="1"/>
  <c r="BA137" i="3"/>
  <c r="AZ137" i="3" s="1"/>
  <c r="BL140" i="3"/>
  <c r="AZ140" i="3" s="1"/>
  <c r="BA141" i="3"/>
  <c r="AZ141" i="3" s="1"/>
  <c r="BA147" i="3"/>
  <c r="AZ147" i="3" s="1"/>
  <c r="BL148" i="3"/>
  <c r="BA149" i="3"/>
  <c r="AZ149" i="3" s="1"/>
  <c r="BA152" i="3"/>
  <c r="B13" i="1"/>
  <c r="E13" i="1" s="1"/>
  <c r="K13" i="1"/>
  <c r="M13" i="1" s="1"/>
  <c r="O13" i="1" s="1"/>
  <c r="P13" i="1" s="1"/>
  <c r="T61" i="59"/>
  <c r="D61" i="59"/>
  <c r="A30" i="51"/>
  <c r="B22" i="63" s="1"/>
  <c r="A30" i="64"/>
  <c r="AZ398" i="3"/>
  <c r="AZ418" i="3"/>
  <c r="AZ434" i="3"/>
  <c r="AZ444" i="3"/>
  <c r="AZ458" i="3"/>
  <c r="AZ474" i="3"/>
  <c r="AZ313" i="3"/>
  <c r="AZ333" i="3"/>
  <c r="AZ357" i="3"/>
  <c r="AZ364" i="3"/>
  <c r="AZ369" i="3"/>
  <c r="AZ375" i="3"/>
  <c r="AZ385" i="3"/>
  <c r="AZ205" i="3"/>
  <c r="AZ216" i="3"/>
  <c r="AZ232" i="3"/>
  <c r="AZ248" i="3"/>
  <c r="AZ264" i="3"/>
  <c r="AZ294" i="3"/>
  <c r="AZ132" i="3"/>
  <c r="AZ148" i="3"/>
  <c r="BL161" i="3"/>
  <c r="AZ161" i="3" s="1"/>
  <c r="BA163" i="3"/>
  <c r="AZ163" i="3" s="1"/>
  <c r="BL165" i="3"/>
  <c r="AZ165" i="3" s="1"/>
  <c r="BA167" i="3"/>
  <c r="AZ167" i="3" s="1"/>
  <c r="BL168" i="3"/>
  <c r="AZ168" i="3" s="1"/>
  <c r="BL173" i="3"/>
  <c r="AZ173" i="3" s="1"/>
  <c r="BA175" i="3"/>
  <c r="AZ175" i="3" s="1"/>
  <c r="BL176" i="3"/>
  <c r="AZ176" i="3" s="1"/>
  <c r="BA179" i="3"/>
  <c r="AZ179" i="3" s="1"/>
  <c r="BA181" i="3"/>
  <c r="AZ181" i="3" s="1"/>
  <c r="BL182" i="3"/>
  <c r="AZ182" i="3" s="1"/>
  <c r="BA185" i="3"/>
  <c r="AZ185" i="3" s="1"/>
  <c r="BL186" i="3"/>
  <c r="BA189" i="3"/>
  <c r="AZ189" i="3" s="1"/>
  <c r="BL190" i="3"/>
  <c r="AZ190" i="3" s="1"/>
  <c r="BA193" i="3"/>
  <c r="AZ193" i="3" s="1"/>
  <c r="BL194" i="3"/>
  <c r="BA197" i="3"/>
  <c r="AZ197" i="3" s="1"/>
  <c r="BL198" i="3"/>
  <c r="AZ198" i="3" s="1"/>
  <c r="BA201" i="3"/>
  <c r="AZ201" i="3" s="1"/>
  <c r="BA202" i="3"/>
  <c r="AZ202" i="3" s="1"/>
  <c r="BL23" i="3"/>
  <c r="AZ23" i="3" s="1"/>
  <c r="BL27" i="3"/>
  <c r="AZ27" i="3" s="1"/>
  <c r="BA28" i="3"/>
  <c r="AZ28" i="3" s="1"/>
  <c r="BL29" i="3"/>
  <c r="BA30" i="3"/>
  <c r="AZ30" i="3" s="1"/>
  <c r="BA32" i="3"/>
  <c r="AZ32" i="3" s="1"/>
  <c r="BL33" i="3"/>
  <c r="AZ33" i="3" s="1"/>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AZ76" i="3" s="1"/>
  <c r="BA77" i="3"/>
  <c r="AZ77" i="3" s="1"/>
  <c r="BA79" i="3"/>
  <c r="AZ79" i="3" s="1"/>
  <c r="BL80" i="3"/>
  <c r="AZ80" i="3" s="1"/>
  <c r="BA81" i="3"/>
  <c r="AZ81" i="3" s="1"/>
  <c r="BL84" i="3"/>
  <c r="AZ84" i="3" s="1"/>
  <c r="BA85" i="3"/>
  <c r="AZ85" i="3" s="1"/>
  <c r="BL90" i="3"/>
  <c r="AZ90" i="3" s="1"/>
  <c r="BL94" i="3"/>
  <c r="AZ94" i="3" s="1"/>
  <c r="BA95" i="3"/>
  <c r="AZ95" i="3" s="1"/>
  <c r="BL96" i="3"/>
  <c r="AZ96" i="3" s="1"/>
  <c r="BA97" i="3"/>
  <c r="AZ97" i="3" s="1"/>
  <c r="BA99" i="3"/>
  <c r="AZ99" i="3" s="1"/>
  <c r="BL100" i="3"/>
  <c r="BA101" i="3"/>
  <c r="AZ101" i="3" s="1"/>
  <c r="BL106" i="3"/>
  <c r="AZ106" i="3" s="1"/>
  <c r="BL110" i="3"/>
  <c r="AZ110" i="3" s="1"/>
  <c r="BA111" i="3"/>
  <c r="AZ111" i="3" s="1"/>
  <c r="B77" i="46"/>
  <c r="C31" i="39"/>
  <c r="S21" i="34"/>
  <c r="S18" i="35"/>
  <c r="B68" i="46"/>
  <c r="E67" i="59"/>
  <c r="D39" i="59"/>
  <c r="F41" i="59"/>
  <c r="V41" i="59" s="1"/>
  <c r="E31" i="59"/>
  <c r="E32" i="59" s="1"/>
  <c r="E33" i="59" s="1"/>
  <c r="U33" i="59" s="1"/>
  <c r="AB28" i="59"/>
  <c r="Y28" i="59"/>
  <c r="Z28" i="59" s="1"/>
  <c r="AA26" i="59"/>
  <c r="F31" i="59"/>
  <c r="F32" i="59" s="1"/>
  <c r="F33" i="59" s="1"/>
  <c r="V33" i="59" s="1"/>
  <c r="AB27" i="59"/>
  <c r="Y31" i="59"/>
  <c r="Z31" i="59" s="1"/>
  <c r="AB31" i="59"/>
  <c r="Y32" i="59"/>
  <c r="Z32" i="59" s="1"/>
  <c r="AB32" i="59"/>
  <c r="AB33" i="59"/>
  <c r="AB36" i="59"/>
  <c r="AB39" i="59"/>
  <c r="AA5" i="59"/>
  <c r="AA7" i="59"/>
  <c r="AA8" i="59"/>
  <c r="AA6" i="59"/>
  <c r="AA10" i="59"/>
  <c r="C48" i="59"/>
  <c r="D48" i="59" s="1"/>
  <c r="D47" i="59"/>
  <c r="Q67" i="59"/>
  <c r="Q66" i="59"/>
  <c r="O69" i="59"/>
  <c r="C68" i="59"/>
  <c r="D85" i="59"/>
  <c r="C84" i="59"/>
  <c r="Y25" i="59"/>
  <c r="Z25" i="59" s="1"/>
  <c r="X39" i="59"/>
  <c r="AB34" i="59"/>
  <c r="AA31" i="59"/>
  <c r="X30" i="59"/>
  <c r="X19" i="59"/>
  <c r="Y19" i="59"/>
  <c r="Z19" i="59" s="1"/>
  <c r="AA19" i="59"/>
  <c r="AB3" i="59"/>
  <c r="X18" i="59"/>
  <c r="AA18" i="59"/>
  <c r="AA3" i="59"/>
  <c r="AA13" i="59"/>
  <c r="X15" i="59"/>
  <c r="Y10" i="59"/>
  <c r="Z10" i="59" s="1"/>
  <c r="Y34" i="59"/>
  <c r="Z34" i="59" s="1"/>
  <c r="C35" i="59"/>
  <c r="AA38" i="59"/>
  <c r="E39" i="59"/>
  <c r="E40" i="59" s="1"/>
  <c r="E41" i="59" s="1"/>
  <c r="U41" i="59" s="1"/>
  <c r="X7" i="59"/>
  <c r="X5" i="59"/>
  <c r="X8" i="59"/>
  <c r="X6" i="59"/>
  <c r="X10" i="59"/>
  <c r="X40" i="59"/>
  <c r="AB7" i="59"/>
  <c r="AB5" i="59"/>
  <c r="AB8" i="59"/>
  <c r="AB6" i="59"/>
  <c r="AB11" i="59"/>
  <c r="AB40" i="59"/>
  <c r="T73" i="59"/>
  <c r="C72" i="59"/>
  <c r="T81" i="59"/>
  <c r="C80" i="59"/>
  <c r="E29" i="59"/>
  <c r="AA29" i="59"/>
  <c r="AB38" i="59"/>
  <c r="X34" i="59"/>
  <c r="AB30" i="59"/>
  <c r="E24" i="59"/>
  <c r="E23" i="59" s="1"/>
  <c r="E22" i="59" s="1"/>
  <c r="E21" i="59" s="1"/>
  <c r="U25" i="59"/>
  <c r="S29" i="59"/>
  <c r="D29" i="59"/>
  <c r="T29" i="59"/>
  <c r="C28" i="59"/>
  <c r="AA27" i="59"/>
  <c r="X28" i="59"/>
  <c r="X26" i="59"/>
  <c r="Y24" i="59"/>
  <c r="Z24" i="59" s="1"/>
  <c r="AB24" i="59"/>
  <c r="X24" i="59"/>
  <c r="X22" i="59"/>
  <c r="Y13" i="59"/>
  <c r="Z13" i="59" s="1"/>
  <c r="AB10" i="59"/>
  <c r="P16" i="4"/>
  <c r="Y30" i="59"/>
  <c r="Z30" i="59" s="1"/>
  <c r="X31" i="59"/>
  <c r="AA32" i="59"/>
  <c r="X33" i="59"/>
  <c r="AA34" i="59"/>
  <c r="AB35" i="59"/>
  <c r="Y36" i="59"/>
  <c r="Z36" i="59" s="1"/>
  <c r="AB37" i="59"/>
  <c r="Y38" i="59"/>
  <c r="Z38" i="59" s="1"/>
  <c r="Y7" i="59"/>
  <c r="Z7" i="59" s="1"/>
  <c r="Y5" i="59"/>
  <c r="Z5" i="59" s="1"/>
  <c r="Y8" i="59"/>
  <c r="Z8" i="59" s="1"/>
  <c r="Y6" i="59"/>
  <c r="Z6" i="59" s="1"/>
  <c r="F28" i="59"/>
  <c r="F27" i="59" s="1"/>
  <c r="AB25" i="59"/>
  <c r="X25" i="59"/>
  <c r="B25" i="59"/>
  <c r="X13" i="59"/>
  <c r="X14" i="59"/>
  <c r="AA16" i="59"/>
  <c r="AA15" i="59"/>
  <c r="AA11" i="59"/>
  <c r="AA12" i="59"/>
  <c r="X17" i="59"/>
  <c r="Y18" i="59"/>
  <c r="Z18" i="59" s="1"/>
  <c r="AB18" i="59"/>
  <c r="AA14" i="59"/>
  <c r="X11" i="59"/>
  <c r="AB15" i="59"/>
  <c r="Y11" i="59"/>
  <c r="Z11" i="59" s="1"/>
  <c r="AB16" i="59"/>
  <c r="AB12" i="59"/>
  <c r="AB13" i="59"/>
  <c r="AB14" i="59"/>
  <c r="Y12" i="59"/>
  <c r="Z12" i="59" s="1"/>
  <c r="Y14" i="59"/>
  <c r="Z14" i="59" s="1"/>
  <c r="D65" i="46"/>
  <c r="D50" i="46"/>
  <c r="F36" i="44"/>
  <c r="M22" i="44"/>
  <c r="M20" i="15"/>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H63" i="46"/>
  <c r="H65" i="46"/>
  <c r="H67" i="46"/>
  <c r="H69" i="46"/>
  <c r="H62" i="46"/>
  <c r="H64" i="46"/>
  <c r="H66" i="46"/>
  <c r="H68" i="46"/>
  <c r="J69" i="46"/>
  <c r="D63" i="46"/>
  <c r="D67" i="46"/>
  <c r="D62" i="46"/>
  <c r="D64" i="46"/>
  <c r="D66" i="46"/>
  <c r="D61" i="46"/>
  <c r="D54" i="46"/>
  <c r="D51" i="46"/>
  <c r="D56" i="46"/>
  <c r="H57" i="46"/>
  <c r="E44" i="46"/>
  <c r="C44" i="46" s="1"/>
  <c r="G18" i="46"/>
  <c r="I18" i="46"/>
  <c r="H79" i="46"/>
  <c r="G79" i="46" s="1"/>
  <c r="H78" i="46"/>
  <c r="G78" i="46" s="1"/>
  <c r="H77" i="46"/>
  <c r="G77" i="46" s="1"/>
  <c r="H76" i="46"/>
  <c r="G76" i="46" s="1"/>
  <c r="H80" i="46"/>
  <c r="G80" i="46" s="1"/>
  <c r="H75" i="46"/>
  <c r="G75" i="46" s="1"/>
  <c r="H73" i="46"/>
  <c r="G73" i="46" s="1"/>
  <c r="O23" i="46"/>
  <c r="A1" i="70"/>
  <c r="H50" i="46"/>
  <c r="H51" i="46"/>
  <c r="H56" i="46"/>
  <c r="H55" i="46"/>
  <c r="H58" i="46"/>
  <c r="H53" i="46"/>
  <c r="H54" i="46"/>
  <c r="BA13" i="3"/>
  <c r="AZ20" i="3"/>
  <c r="AZ484" i="3"/>
  <c r="AZ395" i="3"/>
  <c r="AZ397" i="3"/>
  <c r="AZ405" i="3"/>
  <c r="AZ411" i="3"/>
  <c r="AZ413" i="3"/>
  <c r="AZ427" i="3"/>
  <c r="AZ437" i="3"/>
  <c r="AZ443" i="3"/>
  <c r="AZ447" i="3"/>
  <c r="AZ457" i="3"/>
  <c r="AZ473" i="3"/>
  <c r="AZ206" i="3"/>
  <c r="AZ116" i="3"/>
  <c r="BT5" i="3"/>
  <c r="G28" i="6" s="1"/>
  <c r="BI5" i="3"/>
  <c r="BG5" i="3"/>
  <c r="AZ211" i="3"/>
  <c r="AZ219" i="3"/>
  <c r="AZ227" i="3"/>
  <c r="AZ235" i="3"/>
  <c r="AZ243" i="3"/>
  <c r="AZ251" i="3"/>
  <c r="AZ259" i="3"/>
  <c r="AZ271" i="3"/>
  <c r="AZ287" i="3"/>
  <c r="AZ186" i="3"/>
  <c r="AZ194" i="3"/>
  <c r="AZ29" i="3"/>
  <c r="AZ45" i="3"/>
  <c r="AZ54" i="3"/>
  <c r="AZ69" i="3"/>
  <c r="AZ100" i="3"/>
  <c r="AP7" i="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O7" i="1"/>
  <c r="P7" i="1" s="1"/>
  <c r="O12" i="1"/>
  <c r="P12" i="1" s="1"/>
  <c r="O10" i="1"/>
  <c r="P10" i="1" s="1"/>
  <c r="O9" i="1"/>
  <c r="P9"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J7" i="65"/>
  <c r="I5" i="65"/>
  <c r="C16" i="15"/>
  <c r="J4" i="65"/>
  <c r="J5" i="65"/>
  <c r="C18" i="44"/>
  <c r="D21" i="12"/>
  <c r="J6" i="65"/>
  <c r="AZ561" i="3" l="1"/>
  <c r="AZ13" i="3"/>
  <c r="E29" i="6"/>
  <c r="AZ199" i="3"/>
  <c r="AZ191" i="3"/>
  <c r="AZ183" i="3"/>
  <c r="AZ171" i="3"/>
  <c r="AZ159" i="3"/>
  <c r="AZ478" i="3"/>
  <c r="AZ466" i="3"/>
  <c r="AZ462" i="3"/>
  <c r="AZ452" i="3"/>
  <c r="AZ438" i="3"/>
  <c r="AZ432" i="3"/>
  <c r="AZ428" i="3"/>
  <c r="AZ420" i="3"/>
  <c r="AZ414" i="3"/>
  <c r="AZ402" i="3"/>
  <c r="AZ195" i="3"/>
  <c r="AZ295" i="3"/>
  <c r="AZ283" i="3"/>
  <c r="E5" i="6"/>
  <c r="D12" i="11" s="1"/>
  <c r="C12" i="11" s="1"/>
  <c r="BL5" i="3"/>
  <c r="AZ152" i="3"/>
  <c r="AZ125" i="3"/>
  <c r="AZ121" i="3"/>
  <c r="AZ335" i="3"/>
  <c r="AZ480" i="3"/>
  <c r="AZ476" i="3"/>
  <c r="AZ464" i="3"/>
  <c r="AZ460" i="3"/>
  <c r="AZ440" i="3"/>
  <c r="AZ416" i="3"/>
  <c r="AZ404" i="3"/>
  <c r="AZ400" i="3"/>
  <c r="AZ177" i="3"/>
  <c r="AZ156" i="3"/>
  <c r="AZ129" i="3"/>
  <c r="AZ470" i="3"/>
  <c r="AZ424" i="3"/>
  <c r="AZ408" i="3"/>
  <c r="AZ392" i="3"/>
  <c r="Q16" i="1"/>
  <c r="F21" i="43" s="1"/>
  <c r="H16" i="1"/>
  <c r="C29" i="74"/>
  <c r="M73" i="46"/>
  <c r="N73" i="46" s="1"/>
  <c r="K73" i="46"/>
  <c r="M80" i="46"/>
  <c r="N80" i="46" s="1"/>
  <c r="K80" i="46"/>
  <c r="K77" i="46"/>
  <c r="M77" i="46"/>
  <c r="N77" i="46" s="1"/>
  <c r="M79" i="46"/>
  <c r="N79" i="46" s="1"/>
  <c r="K79" i="46"/>
  <c r="M72" i="46"/>
  <c r="N72" i="46" s="1"/>
  <c r="K72" i="46"/>
  <c r="K75" i="46"/>
  <c r="M75" i="46"/>
  <c r="N75" i="46" s="1"/>
  <c r="M76" i="46"/>
  <c r="N76" i="46" s="1"/>
  <c r="K76" i="46"/>
  <c r="K78" i="46"/>
  <c r="M78" i="46"/>
  <c r="N78" i="46" s="1"/>
  <c r="J74" i="46"/>
  <c r="D74" i="46"/>
  <c r="C21" i="12"/>
  <c r="J1" i="65"/>
  <c r="I1" i="65"/>
  <c r="G30" i="6"/>
  <c r="G31" i="6" s="1"/>
  <c r="E15" i="6"/>
  <c r="E66" i="39" s="1"/>
  <c r="AP16" i="1"/>
  <c r="F22" i="11" s="1"/>
  <c r="S25" i="59"/>
  <c r="B24" i="59"/>
  <c r="B23" i="59" s="1"/>
  <c r="B22" i="59" s="1"/>
  <c r="B21" i="59" s="1"/>
  <c r="E20" i="59"/>
  <c r="E19" i="59" s="1"/>
  <c r="E18" i="59" s="1"/>
  <c r="E17" i="59" s="1"/>
  <c r="U21" i="59"/>
  <c r="C79" i="59"/>
  <c r="D79" i="59" s="1"/>
  <c r="D80" i="59"/>
  <c r="D72" i="59"/>
  <c r="C71" i="59"/>
  <c r="D71" i="59" s="1"/>
  <c r="D35" i="59"/>
  <c r="C36" i="59"/>
  <c r="AB34" i="35"/>
  <c r="U34" i="35"/>
  <c r="AA26" i="37"/>
  <c r="S26" i="37"/>
  <c r="U39" i="37"/>
  <c r="AB39" i="37"/>
  <c r="AC39" i="37"/>
  <c r="W39" i="37"/>
  <c r="AB9" i="33"/>
  <c r="U9" i="33"/>
  <c r="U11" i="35"/>
  <c r="AB11" i="35"/>
  <c r="AA12" i="35"/>
  <c r="S12" i="35"/>
  <c r="U12" i="35"/>
  <c r="AB12" i="35"/>
  <c r="S9" i="21"/>
  <c r="AA9" i="21"/>
  <c r="S31" i="21"/>
  <c r="AA31" i="21"/>
  <c r="C34" i="44"/>
  <c r="J7" i="33"/>
  <c r="W7" i="33" s="1"/>
  <c r="C27" i="59"/>
  <c r="D27" i="59" s="1"/>
  <c r="D28" i="59"/>
  <c r="U29" i="59"/>
  <c r="E28" i="59"/>
  <c r="E27" i="59" s="1"/>
  <c r="D84" i="59"/>
  <c r="C83" i="59"/>
  <c r="D83" i="59" s="1"/>
  <c r="O68" i="59"/>
  <c r="C67" i="59"/>
  <c r="D68" i="59"/>
  <c r="P66" i="59"/>
  <c r="P67" i="59"/>
  <c r="AA34" i="35"/>
  <c r="S34" i="35"/>
  <c r="AC34" i="35"/>
  <c r="W34" i="35"/>
  <c r="AB26" i="37"/>
  <c r="U26" i="37"/>
  <c r="S39" i="37"/>
  <c r="AA39" i="37"/>
  <c r="AA9" i="33"/>
  <c r="S9" i="33"/>
  <c r="W9" i="33"/>
  <c r="AC9" i="33"/>
  <c r="AA11" i="35"/>
  <c r="S11" i="35"/>
  <c r="W12" i="35"/>
  <c r="AC12" i="35"/>
  <c r="U9" i="21"/>
  <c r="AB9" i="21"/>
  <c r="AA27" i="21"/>
  <c r="S27" i="21"/>
  <c r="AC27" i="33"/>
  <c r="W27" i="33"/>
  <c r="D22" i="59"/>
  <c r="C21" i="59"/>
  <c r="F16" i="59"/>
  <c r="F15" i="59" s="1"/>
  <c r="F14" i="59" s="1"/>
  <c r="F13" i="59" s="1"/>
  <c r="V17" i="59"/>
  <c r="J60" i="44"/>
  <c r="J61" i="44" s="1"/>
  <c r="Q50" i="44" s="1"/>
  <c r="E83" i="46"/>
  <c r="B81" i="46" s="1"/>
  <c r="BA5" i="3"/>
  <c r="E12" i="6"/>
  <c r="E58" i="40" s="1"/>
  <c r="J7" i="21"/>
  <c r="AC7" i="21" s="1"/>
  <c r="V48" i="21" s="1"/>
  <c r="I48" i="21" s="1"/>
  <c r="E61" i="46"/>
  <c r="B59" i="46" s="1"/>
  <c r="E50" i="46"/>
  <c r="B48" i="46" s="1"/>
  <c r="E17" i="46"/>
  <c r="C17" i="46" s="1"/>
  <c r="C7" i="46"/>
  <c r="AZ5" i="3"/>
  <c r="E3" i="6" s="1"/>
  <c r="D33" i="75" s="1"/>
  <c r="D1" i="75"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H7" i="34"/>
  <c r="U7" i="34" s="1"/>
  <c r="F7" i="34"/>
  <c r="AA7" i="34" s="1"/>
  <c r="R49" i="34" s="1"/>
  <c r="J7" i="34"/>
  <c r="W7" i="34" s="1"/>
  <c r="G16" i="1"/>
  <c r="J12" i="40" s="1"/>
  <c r="F7" i="21"/>
  <c r="AA7" i="21" s="1"/>
  <c r="R48" i="21" s="1"/>
  <c r="H7" i="21"/>
  <c r="AB7" i="21" s="1"/>
  <c r="T48" i="21" s="1"/>
  <c r="G48" i="21" s="1"/>
  <c r="F58" i="15"/>
  <c r="H7" i="35"/>
  <c r="U7" i="35" s="1"/>
  <c r="E64" i="40"/>
  <c r="D66" i="40"/>
  <c r="AC7" i="33"/>
  <c r="V48" i="33" s="1"/>
  <c r="I48" i="33" s="1"/>
  <c r="S7" i="34"/>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C15" i="74"/>
  <c r="D21" i="74"/>
  <c r="F33" i="12"/>
  <c r="C15" i="12"/>
  <c r="E2" i="65"/>
  <c r="E3" i="65"/>
  <c r="F46" i="44"/>
  <c r="F41" i="15"/>
  <c r="F33" i="74"/>
  <c r="E63" i="39" l="1"/>
  <c r="K15" i="1"/>
  <c r="L19" i="6"/>
  <c r="L27" i="6" s="1"/>
  <c r="D33" i="46"/>
  <c r="D1" i="46" s="1"/>
  <c r="C10" i="12"/>
  <c r="C6" i="12" s="1"/>
  <c r="J76" i="46"/>
  <c r="D76" i="46"/>
  <c r="J72" i="46"/>
  <c r="D72" i="46"/>
  <c r="J79" i="46"/>
  <c r="D79" i="46"/>
  <c r="J80" i="46"/>
  <c r="D80" i="46"/>
  <c r="J73" i="46"/>
  <c r="D73" i="46"/>
  <c r="J78" i="46"/>
  <c r="D78" i="46"/>
  <c r="J75" i="46"/>
  <c r="D75" i="46"/>
  <c r="J77" i="46"/>
  <c r="D77" i="46"/>
  <c r="C34" i="12"/>
  <c r="D33" i="12" s="1"/>
  <c r="C21" i="74"/>
  <c r="C34" i="74"/>
  <c r="D33" i="74" s="1"/>
  <c r="B40" i="1"/>
  <c r="L36" i="75" s="1"/>
  <c r="Q36" i="75" s="1"/>
  <c r="F17" i="11"/>
  <c r="C17" i="11" s="1"/>
  <c r="C19" i="11" s="1"/>
  <c r="C20" i="11" s="1"/>
  <c r="C21" i="11" s="1"/>
  <c r="C22" i="11" s="1"/>
  <c r="C23" i="11" s="1"/>
  <c r="B2" i="11" s="1"/>
  <c r="E61" i="40"/>
  <c r="D16" i="43"/>
  <c r="C16" i="43" s="1"/>
  <c r="AB7" i="34"/>
  <c r="T49" i="34" s="1"/>
  <c r="G49" i="34" s="1"/>
  <c r="V13" i="59"/>
  <c r="F12" i="59"/>
  <c r="F11" i="59" s="1"/>
  <c r="O67" i="59"/>
  <c r="O66" i="59"/>
  <c r="D67" i="59"/>
  <c r="C37" i="59"/>
  <c r="D36" i="59"/>
  <c r="B20" i="59"/>
  <c r="B19" i="59" s="1"/>
  <c r="B18" i="59" s="1"/>
  <c r="B17" i="59" s="1"/>
  <c r="S21" i="59"/>
  <c r="C20" i="59"/>
  <c r="T21" i="59"/>
  <c r="D21" i="59"/>
  <c r="E16" i="59"/>
  <c r="E15" i="59" s="1"/>
  <c r="E14" i="59" s="1"/>
  <c r="E13" i="59" s="1"/>
  <c r="U17" i="59"/>
  <c r="D46" i="9"/>
  <c r="C21" i="4"/>
  <c r="O5" i="54" s="1"/>
  <c r="B45" i="63" s="1"/>
  <c r="E6" i="6"/>
  <c r="D44" i="9"/>
  <c r="AC7" i="34"/>
  <c r="V49" i="34" s="1"/>
  <c r="I49" i="34" s="1"/>
  <c r="J10" i="15"/>
  <c r="J5" i="15" s="1"/>
  <c r="J24" i="15" s="1"/>
  <c r="AG8" i="1"/>
  <c r="AG9" i="1"/>
  <c r="AG11" i="1"/>
  <c r="AG12" i="1"/>
  <c r="AG10" i="1"/>
  <c r="AG7" i="1"/>
  <c r="AG6" i="1"/>
  <c r="F68" i="15"/>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C24" i="12" l="1"/>
  <c r="C29" i="12"/>
  <c r="E72" i="46"/>
  <c r="B70" i="46" s="1"/>
  <c r="C28" i="46" s="1"/>
  <c r="T2" i="46" s="1"/>
  <c r="V2" i="46" s="1"/>
  <c r="F26" i="74"/>
  <c r="C27" i="74" s="1"/>
  <c r="D26" i="74" s="1"/>
  <c r="C32" i="74" s="1"/>
  <c r="D30" i="74" s="1"/>
  <c r="L37" i="75"/>
  <c r="O37" i="75" s="1"/>
  <c r="N36" i="75"/>
  <c r="O36" i="75"/>
  <c r="L36" i="46"/>
  <c r="Q36" i="46" s="1"/>
  <c r="P36" i="75"/>
  <c r="M36" i="75"/>
  <c r="D13" i="11"/>
  <c r="C13" i="11" s="1"/>
  <c r="C19" i="59"/>
  <c r="D20" i="59"/>
  <c r="B16" i="59"/>
  <c r="B15" i="59" s="1"/>
  <c r="B14" i="59" s="1"/>
  <c r="B13" i="59" s="1"/>
  <c r="S17" i="59"/>
  <c r="T37" i="59"/>
  <c r="D37" i="59"/>
  <c r="E12" i="59"/>
  <c r="E11" i="59" s="1"/>
  <c r="U13" i="59"/>
  <c r="C6" i="66"/>
  <c r="C8" i="66"/>
  <c r="E31" i="6"/>
  <c r="K21" i="6"/>
  <c r="S8" i="1" s="1"/>
  <c r="G43" i="35"/>
  <c r="H43" i="35" s="1"/>
  <c r="C59" i="15"/>
  <c r="C65" i="15"/>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F1" i="75"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D16" i="74"/>
  <c r="D22" i="74"/>
  <c r="C39" i="46" l="1"/>
  <c r="G39" i="46" s="1"/>
  <c r="I39" i="46" s="1"/>
  <c r="T5" i="46"/>
  <c r="V5" i="46" s="1"/>
  <c r="T10" i="46"/>
  <c r="V10" i="46" s="1"/>
  <c r="C42" i="46"/>
  <c r="E42" i="46" s="1"/>
  <c r="D19" i="74"/>
  <c r="C19" i="74" s="1"/>
  <c r="C16" i="74"/>
  <c r="B5" i="11"/>
  <c r="F1" i="46"/>
  <c r="M21" i="6"/>
  <c r="I21" i="6" s="1"/>
  <c r="S21" i="6" s="1"/>
  <c r="C37" i="46"/>
  <c r="E37" i="46" s="1"/>
  <c r="T6" i="46"/>
  <c r="V6" i="46" s="1"/>
  <c r="T4" i="46"/>
  <c r="V4" i="46" s="1"/>
  <c r="T3" i="46"/>
  <c r="V3" i="46" s="1"/>
  <c r="T9" i="46"/>
  <c r="V9" i="46" s="1"/>
  <c r="C38" i="46"/>
  <c r="E38" i="46" s="1"/>
  <c r="C41" i="46"/>
  <c r="G41" i="46" s="1"/>
  <c r="I41" i="46" s="1"/>
  <c r="C40" i="46"/>
  <c r="G40" i="46" s="1"/>
  <c r="I40" i="46" s="1"/>
  <c r="T14" i="46"/>
  <c r="V14" i="46" s="1"/>
  <c r="T13" i="46"/>
  <c r="V13" i="46" s="1"/>
  <c r="T12" i="46"/>
  <c r="V12" i="46" s="1"/>
  <c r="T11" i="46"/>
  <c r="V11" i="46" s="1"/>
  <c r="T8" i="46"/>
  <c r="V8" i="46" s="1"/>
  <c r="T15" i="46"/>
  <c r="V15" i="46" s="1"/>
  <c r="T7" i="46"/>
  <c r="V7" i="46" s="1"/>
  <c r="T16" i="46"/>
  <c r="V16" i="46" s="1"/>
  <c r="Q37" i="75"/>
  <c r="C22" i="74"/>
  <c r="C20" i="74" s="1"/>
  <c r="N37" i="75"/>
  <c r="L37" i="46"/>
  <c r="P37" i="46" s="1"/>
  <c r="M37" i="75"/>
  <c r="M36" i="46"/>
  <c r="O36" i="46"/>
  <c r="P37" i="75"/>
  <c r="P36" i="46"/>
  <c r="N36" i="46"/>
  <c r="K27" i="6"/>
  <c r="E40" i="46"/>
  <c r="B12" i="59"/>
  <c r="B11" i="59" s="1"/>
  <c r="B10" i="59" s="1"/>
  <c r="S13" i="59"/>
  <c r="C18" i="59"/>
  <c r="D19" i="59"/>
  <c r="E41" i="46"/>
  <c r="E39" i="46"/>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0" i="6"/>
  <c r="H26" i="6"/>
  <c r="D23" i="6"/>
  <c r="E46" i="9"/>
  <c r="F45" i="9"/>
  <c r="D28" i="6"/>
  <c r="H25"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D22" i="12"/>
  <c r="D16" i="12"/>
  <c r="G42" i="46" l="1"/>
  <c r="I42" i="46" s="1"/>
  <c r="G37" i="46"/>
  <c r="I37" i="46" s="1"/>
  <c r="G38" i="46"/>
  <c r="I38" i="46" s="1"/>
  <c r="O37" i="46"/>
  <c r="H21" i="6"/>
  <c r="R21" i="6" s="1"/>
  <c r="R8" i="1" s="1"/>
  <c r="D19" i="12"/>
  <c r="C19" i="12" s="1"/>
  <c r="C16" i="12"/>
  <c r="C22" i="12"/>
  <c r="C20" i="12" s="1"/>
  <c r="D30" i="6"/>
  <c r="N37" i="46"/>
  <c r="M37" i="46"/>
  <c r="Q37" i="46"/>
  <c r="H23" i="6"/>
  <c r="R23" i="6" s="1"/>
  <c r="R10" i="1" s="1"/>
  <c r="H22" i="6"/>
  <c r="R22" i="6" s="1"/>
  <c r="R9" i="1" s="1"/>
  <c r="M27" i="6"/>
  <c r="C17" i="59"/>
  <c r="D18" i="59"/>
  <c r="F14" i="66"/>
  <c r="T11" i="1"/>
  <c r="T9" i="1"/>
  <c r="T10" i="1"/>
  <c r="T13" i="1"/>
  <c r="T6" i="1"/>
  <c r="T8" i="1"/>
  <c r="T12" i="1"/>
  <c r="T7" i="1"/>
  <c r="I27" i="6"/>
  <c r="S19" i="6"/>
  <c r="S27" i="6" s="1"/>
  <c r="H19" i="6"/>
  <c r="R19" i="6" s="1"/>
  <c r="R6" i="1" s="1"/>
  <c r="R24" i="6"/>
  <c r="R11" i="1" s="1"/>
  <c r="R26" i="6"/>
  <c r="F7" i="59"/>
  <c r="B8" i="59"/>
  <c r="E8" i="59"/>
  <c r="R25" i="6"/>
  <c r="R12" i="1" s="1"/>
  <c r="D27" i="6"/>
  <c r="A20" i="64"/>
  <c r="A6" i="64"/>
  <c r="A20" i="51"/>
  <c r="B15" i="63" s="1"/>
  <c r="N5" i="54"/>
  <c r="B43" i="63" s="1"/>
  <c r="A6" i="51"/>
  <c r="B7" i="63" s="1"/>
  <c r="D6" i="66"/>
  <c r="D8" i="66"/>
  <c r="D7" i="66"/>
  <c r="D16" i="6"/>
  <c r="R20" i="6"/>
  <c r="R7" i="1" s="1"/>
  <c r="C17" i="43"/>
  <c r="C14" i="43"/>
  <c r="I64" i="40"/>
  <c r="H66" i="40"/>
  <c r="H71" i="39"/>
  <c r="I69" i="39"/>
  <c r="N46" i="36"/>
  <c r="E3" i="67"/>
  <c r="B2" i="67"/>
  <c r="D5" i="66"/>
  <c r="C5" i="66"/>
  <c r="F35" i="15"/>
  <c r="M21" i="15"/>
  <c r="F37" i="44"/>
  <c r="C13" i="12"/>
  <c r="C13" i="74"/>
  <c r="M23" i="44"/>
  <c r="C16" i="44"/>
  <c r="C14" i="15"/>
  <c r="D31" i="6" l="1"/>
  <c r="I6" i="6" s="1"/>
  <c r="C17" i="12"/>
  <c r="C14" i="12"/>
  <c r="C14" i="74"/>
  <c r="C17" i="74"/>
  <c r="C16" i="59"/>
  <c r="T17" i="59"/>
  <c r="D17" i="59"/>
  <c r="C36" i="44"/>
  <c r="J20" i="15"/>
  <c r="C34" i="15"/>
  <c r="R27" i="6"/>
  <c r="H27" i="6"/>
  <c r="C15" i="15"/>
  <c r="C18" i="15"/>
  <c r="C17" i="44"/>
  <c r="C20" i="44"/>
  <c r="T16" i="1"/>
  <c r="E7" i="59"/>
  <c r="B7" i="59"/>
  <c r="F6" i="59"/>
  <c r="I5" i="6"/>
  <c r="J22" i="44"/>
  <c r="F62" i="15"/>
  <c r="C61" i="15" s="1"/>
  <c r="R16" i="1"/>
  <c r="C18" i="43"/>
  <c r="O46" i="36"/>
  <c r="J7" i="36" s="1"/>
  <c r="F7" i="36"/>
  <c r="H7" i="36"/>
  <c r="J64" i="40"/>
  <c r="I66" i="40"/>
  <c r="J69" i="39"/>
  <c r="I71" i="39"/>
  <c r="B3" i="67"/>
  <c r="B4" i="67"/>
  <c r="G3" i="46" l="1"/>
  <c r="B117" i="46" s="1"/>
  <c r="G3" i="75"/>
  <c r="Z7" i="46"/>
  <c r="C18" i="12"/>
  <c r="C23" i="12" s="1"/>
  <c r="C35" i="12" s="1"/>
  <c r="C33" i="12" s="1"/>
  <c r="C18" i="74"/>
  <c r="C23" i="74" s="1"/>
  <c r="C35" i="74" s="1"/>
  <c r="C33" i="74" s="1"/>
  <c r="D16" i="59"/>
  <c r="C15"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J26" i="46" l="1"/>
  <c r="F26" i="46"/>
  <c r="E26" i="46"/>
  <c r="G26" i="46"/>
  <c r="H26" i="46"/>
  <c r="J26" i="75"/>
  <c r="G26" i="75"/>
  <c r="H26" i="75"/>
  <c r="Z7" i="75"/>
  <c r="B117" i="75"/>
  <c r="E26" i="75"/>
  <c r="F26" i="75"/>
  <c r="I121" i="46"/>
  <c r="J121" i="46" s="1"/>
  <c r="K121" i="46" s="1"/>
  <c r="L121" i="46" s="1"/>
  <c r="M121" i="46" s="1"/>
  <c r="B121" i="46"/>
  <c r="C121" i="46" s="1"/>
  <c r="D119" i="46"/>
  <c r="E119" i="46" s="1"/>
  <c r="F119" i="46" s="1"/>
  <c r="G119" i="46" s="1"/>
  <c r="H119" i="46" s="1"/>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G122" i="46"/>
  <c r="H122" i="46" s="1"/>
  <c r="B122" i="46"/>
  <c r="C122" i="46" s="1"/>
  <c r="D120" i="46"/>
  <c r="E120" i="46" s="1"/>
  <c r="F120" i="46" s="1"/>
  <c r="G120" i="46" s="1"/>
  <c r="H120" i="46" s="1"/>
  <c r="D117" i="46"/>
  <c r="D26" i="46"/>
  <c r="C25" i="46" s="1"/>
  <c r="C33" i="46" s="1"/>
  <c r="C28" i="74"/>
  <c r="C26" i="74" s="1"/>
  <c r="C31" i="74" s="1"/>
  <c r="C30" i="74" s="1"/>
  <c r="C36" i="74" s="1"/>
  <c r="B2" i="74" s="1"/>
  <c r="D15" i="59"/>
  <c r="C14" i="59"/>
  <c r="E5" i="59"/>
  <c r="U5" i="59" s="1"/>
  <c r="B5" i="59"/>
  <c r="C21" i="43"/>
  <c r="R37" i="36"/>
  <c r="E36" i="36"/>
  <c r="I41" i="36" s="1"/>
  <c r="J41" i="36" s="1"/>
  <c r="K66" i="40"/>
  <c r="L64" i="40"/>
  <c r="G41" i="36"/>
  <c r="H41" i="36" s="1"/>
  <c r="G40" i="36"/>
  <c r="H40" i="36" s="1"/>
  <c r="I40" i="36"/>
  <c r="J40" i="36" s="1"/>
  <c r="L69" i="39"/>
  <c r="K71" i="39"/>
  <c r="D26" i="75" l="1"/>
  <c r="C25" i="75" s="1"/>
  <c r="C33" i="75" s="1"/>
  <c r="I122" i="75"/>
  <c r="J122" i="75" s="1"/>
  <c r="K122" i="75" s="1"/>
  <c r="L122" i="75" s="1"/>
  <c r="M122" i="75" s="1"/>
  <c r="I123" i="75"/>
  <c r="J123" i="75" s="1"/>
  <c r="K123" i="75" s="1"/>
  <c r="L123" i="75" s="1"/>
  <c r="M123" i="75" s="1"/>
  <c r="D123" i="75"/>
  <c r="E123" i="75" s="1"/>
  <c r="F123" i="75" s="1"/>
  <c r="G123" i="75" s="1"/>
  <c r="H123" i="75" s="1"/>
  <c r="D119" i="75"/>
  <c r="E119" i="75" s="1"/>
  <c r="F119" i="75" s="1"/>
  <c r="G119" i="75" s="1"/>
  <c r="H119" i="75" s="1"/>
  <c r="D121" i="75"/>
  <c r="E121" i="75" s="1"/>
  <c r="F121" i="75" s="1"/>
  <c r="G121" i="75" s="1"/>
  <c r="H121" i="75" s="1"/>
  <c r="D117" i="75"/>
  <c r="D122" i="75"/>
  <c r="E122" i="75" s="1"/>
  <c r="F122" i="75" s="1"/>
  <c r="B123" i="75"/>
  <c r="C123" i="75" s="1"/>
  <c r="B119" i="75"/>
  <c r="C119" i="75" s="1"/>
  <c r="I121" i="75"/>
  <c r="J121" i="75" s="1"/>
  <c r="K121" i="75" s="1"/>
  <c r="L121" i="75" s="1"/>
  <c r="M121" i="75" s="1"/>
  <c r="B120" i="75"/>
  <c r="C120" i="75" s="1"/>
  <c r="I120" i="75"/>
  <c r="J120" i="75" s="1"/>
  <c r="K120" i="75" s="1"/>
  <c r="L120" i="75" s="1"/>
  <c r="M120" i="75" s="1"/>
  <c r="B122" i="75"/>
  <c r="C122" i="75" s="1"/>
  <c r="G122" i="75"/>
  <c r="H122" i="75" s="1"/>
  <c r="D120" i="75"/>
  <c r="E120" i="75" s="1"/>
  <c r="F120" i="75" s="1"/>
  <c r="G120" i="75" s="1"/>
  <c r="H120" i="75" s="1"/>
  <c r="B121" i="75"/>
  <c r="C121" i="75" s="1"/>
  <c r="I119" i="75"/>
  <c r="J119" i="75" s="1"/>
  <c r="K119" i="75" s="1"/>
  <c r="L119" i="75" s="1"/>
  <c r="M119" i="75" s="1"/>
  <c r="C34" i="46"/>
  <c r="E34" i="46" s="1"/>
  <c r="C31" i="46" s="1"/>
  <c r="E33" i="46"/>
  <c r="C30" i="46" s="1"/>
  <c r="B2" i="46" s="1"/>
  <c r="C13" i="59"/>
  <c r="D14" i="59"/>
  <c r="S5" i="59"/>
  <c r="L71" i="39"/>
  <c r="M69" i="39"/>
  <c r="M64" i="40"/>
  <c r="L66" i="40"/>
  <c r="E40" i="36"/>
  <c r="F40" i="36" s="1"/>
  <c r="E41" i="36"/>
  <c r="F41" i="36" s="1"/>
  <c r="C37" i="36"/>
  <c r="B3" i="36" s="1"/>
  <c r="B2" i="36" s="1"/>
  <c r="C36" i="36"/>
  <c r="B5" i="74"/>
  <c r="B4" i="74"/>
  <c r="B3" i="74"/>
  <c r="C34" i="75" l="1"/>
  <c r="E34" i="75" s="1"/>
  <c r="C31" i="75" s="1"/>
  <c r="C20" i="9"/>
  <c r="E33" i="75"/>
  <c r="C30" i="75" s="1"/>
  <c r="B2" i="75" s="1"/>
  <c r="B3" i="75" s="1"/>
  <c r="B4" i="46"/>
  <c r="D4" i="46"/>
  <c r="B3" i="46"/>
  <c r="C12" i="59"/>
  <c r="D13" i="59"/>
  <c r="T13" i="59"/>
  <c r="N64" i="40"/>
  <c r="N66" i="40" s="1"/>
  <c r="M66" i="40"/>
  <c r="N69" i="39"/>
  <c r="N71" i="39" s="1"/>
  <c r="M71" i="39"/>
  <c r="C19" i="9"/>
  <c r="D4" i="75" l="1"/>
  <c r="B4" i="75"/>
  <c r="L43" i="9"/>
  <c r="C11" i="59"/>
  <c r="D12" i="59"/>
  <c r="J9" i="40"/>
  <c r="H9" i="40"/>
  <c r="F9" i="40"/>
  <c r="J9" i="39"/>
  <c r="H9" i="39"/>
  <c r="F9" i="39"/>
  <c r="C21" i="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8" i="12"/>
  <c r="C26" i="12" s="1"/>
  <c r="C31" i="12" s="1"/>
  <c r="C30" i="12" s="1"/>
  <c r="C26" i="44"/>
  <c r="C25" i="44"/>
  <c r="C23" i="43" l="1"/>
  <c r="C31" i="44"/>
  <c r="C38" i="44" s="1"/>
  <c r="C36" i="12"/>
  <c r="B2" i="12" s="1"/>
  <c r="C29" i="15"/>
  <c r="D19" i="9"/>
  <c r="B3" i="12"/>
  <c r="L44" i="9" l="1"/>
  <c r="D22" i="9"/>
  <c r="G19"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5" i="12"/>
  <c r="B4" i="12"/>
  <c r="D20" i="9"/>
  <c r="G20" i="9" l="1"/>
  <c r="K20"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D21" i="9"/>
  <c r="G21" i="9" l="1"/>
  <c r="C33" i="9"/>
  <c r="O38" i="9"/>
  <c r="C35" i="9"/>
  <c r="F42" i="9" s="1"/>
  <c r="C42" i="9"/>
  <c r="O43" i="9"/>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M38" i="9" l="1"/>
  <c r="K27" i="9" s="1"/>
  <c r="E42" i="9"/>
  <c r="P5" i="54" s="1"/>
  <c r="B46" i="63" s="1"/>
  <c r="D63" i="9"/>
  <c r="N68" i="9"/>
  <c r="R5" i="54"/>
  <c r="B48" i="63" s="1"/>
  <c r="K25" i="9"/>
  <c r="K26" i="9"/>
  <c r="D42" i="9"/>
  <c r="Q5" i="54" s="1"/>
  <c r="B47" i="63" s="1"/>
  <c r="N38" i="9"/>
  <c r="K28" i="9" s="1"/>
  <c r="Q57" i="15"/>
  <c r="L57" i="15"/>
  <c r="L60" i="15" s="1"/>
  <c r="Q67" i="15" s="1"/>
  <c r="Q68" i="15"/>
  <c r="C46" i="15"/>
  <c r="Q66" i="15"/>
  <c r="J42" i="15"/>
  <c r="J43" i="15" s="1"/>
  <c r="B2" i="15"/>
  <c r="B3" i="15" s="1"/>
  <c r="C43" i="15"/>
  <c r="Q48" i="15"/>
  <c r="Q54" i="15" s="1"/>
  <c r="L52" i="44"/>
  <c r="L58" i="44" s="1"/>
  <c r="L61" i="44" s="1"/>
  <c r="L47" i="44" s="1"/>
  <c r="B3" i="44"/>
  <c r="B5" i="44"/>
  <c r="B4" i="44"/>
  <c r="D73" i="9" l="1"/>
  <c r="N73" i="9" s="1"/>
  <c r="C103" i="9"/>
  <c r="C111" i="9"/>
  <c r="C104" i="9" s="1"/>
  <c r="D70" i="9"/>
  <c r="C96" i="9"/>
  <c r="C91" i="9" s="1"/>
  <c r="C90" i="9"/>
  <c r="C82" i="9"/>
  <c r="C81" i="9" s="1"/>
  <c r="C85" i="9" s="1"/>
  <c r="C86" i="9" s="1"/>
  <c r="D72" i="9" s="1"/>
  <c r="D71" i="9"/>
  <c r="D66" i="9" s="1"/>
  <c r="N72" i="9" s="1"/>
  <c r="Q58" i="15"/>
  <c r="Q63" i="15" s="1"/>
  <c r="Q76" i="15"/>
  <c r="Q69" i="44"/>
  <c r="Q59" i="44"/>
  <c r="Q64" i="44" s="1"/>
  <c r="Q68" i="44"/>
  <c r="Q77" i="44" s="1"/>
  <c r="C97" i="9" l="1"/>
  <c r="C98" i="9" s="1"/>
  <c r="E98" i="9" s="1"/>
  <c r="E99" i="9" s="1"/>
  <c r="C113" i="9"/>
  <c r="C114" i="9" s="1"/>
  <c r="E114" i="9" s="1"/>
  <c r="E115" i="9" s="1"/>
  <c r="C115" i="9" l="1"/>
  <c r="D76" i="9" s="1"/>
  <c r="D74" i="9" s="1"/>
  <c r="N74" i="9" s="1"/>
  <c r="O77" i="9" s="1"/>
  <c r="O79" i="9" s="1"/>
  <c r="C99" i="9"/>
  <c r="O78" i="9" l="1"/>
  <c r="Q77"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<sst xmlns="http://schemas.openxmlformats.org/spreadsheetml/2006/main" count="8080" uniqueCount="3392">
  <si>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</si>
  <si>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</si>
  <si>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</si>
  <si>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</si>
  <si>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</si>
  <si>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</si>
  <si>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</si>
  <si>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</si>
  <si>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</si>
  <si>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</si>
  <si>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</si>
  <si>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</si>
  <si>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</si>
  <si>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</si>
  <si>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</si>
  <si>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</si>
  <si>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</si>
  <si>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</si>
  <si>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</si>
  <si>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</si>
  <si>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</si>
  <si>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</si>
  <si>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</si>
  <si>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</si>
  <si>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</si>
  <si>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</si>
  <si>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</si>
  <si>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</si>
  <si>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</si>
  <si>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</si>
  <si>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</si>
  <si>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</si>
  <si>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</si>
  <si>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</si>
  <si>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</si>
  <si>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</si>
  <si>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</si>
  <si>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</si>
  <si>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</si>
  <si>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</si>
  <si>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</si>
  <si>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</si>
  <si>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</si>
  <si>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</si>
  <si>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</si>
  <si>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</si>
  <si>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</si>
  <si>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</si>
  <si>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</si>
  <si>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</si>
  <si>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</si>
  <si>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</si>
  <si>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</si>
  <si>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</si>
  <si>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</si>
  <si>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</si>
  <si>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</si>
  <si>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</si>
  <si>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</si>
  <si>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</si>
  <si>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</si>
  <si>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</si>
  <si>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</si>
  <si>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</si>
  <si>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</si>
  <si>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</si>
  <si>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</si>
  <si>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</si>
  <si>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</si>
  <si>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</si>
  <si>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</si>
  <si>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</si>
  <si>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</si>
  <si>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</si>
  <si>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</si>
  <si>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</si>
  <si>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</si>
  <si>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</si>
  <si>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</si>
  <si>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</si>
  <si>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</si>
  <si>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</si>
  <si>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</si>
  <si>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</si>
  <si>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</si>
  <si>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</si>
  <si>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</si>
  <si>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</si>
  <si>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</si>
  <si>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</si>
  <si>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</si>
  <si>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</si>
  <si>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</si>
  <si>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</si>
  <si>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</si>
  <si>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</si>
  <si>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</si>
  <si>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</si>
  <si>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</si>
  <si>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</si>
  <si>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</si>
  <si>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</si>
  <si>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</si>
  <si>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</si>
  <si>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</si>
  <si>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</si>
  <si>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</si>
  <si>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</si>
  <si>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</si>
  <si>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</si>
  <si>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</si>
  <si>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</si>
  <si>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</si>
  <si>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</si>
  <si>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</si>
  <si>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</si>
  <si>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</si>
  <si>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</si>
  <si>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</si>
  <si>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</si>
  <si>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</si>
  <si>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</si>
  <si>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</si>
  <si>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</si>
  <si>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</si>
  <si>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</si>
  <si>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</si>
  <si>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</si>
  <si>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</si>
  <si>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</si>
  <si>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</si>
  <si>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</si>
  <si>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</si>
  <si>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</si>
  <si>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</si>
  <si>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</si>
  <si>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</si>
  <si>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</si>
  <si>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</si>
  <si>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</si>
  <si>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</si>
  <si>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</si>
  <si>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</si>
  <si>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</si>
  <si>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</si>
  <si>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</si>
  <si>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</si>
  <si>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</si>
  <si>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</si>
  <si>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</si>
  <si>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</si>
  <si>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</si>
  <si>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</si>
  <si>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</si>
  <si>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</si>
  <si>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</si>
  <si>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</si>
  <si>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</si>
  <si>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</si>
  <si>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</si>
  <si>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</si>
  <si>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</si>
  <si>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</si>
  <si>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</si>
  <si>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</si>
  <si>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</si>
  <si>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</si>
  <si>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</si>
  <si>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</si>
  <si>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</si>
  <si>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</si>
  <si>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</si>
  <si>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</si>
  <si>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</si>
  <si>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</si>
  <si>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</si>
  <si>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</si>
  <si>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</si>
  <si>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</si>
  <si>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</si>
  <si>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</si>
  <si>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</si>
  <si>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</si>
  <si>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</si>
  <si>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</si>
  <si>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</si>
  <si>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</si>
  <si>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</si>
  <si>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</si>
  <si>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</si>
  <si>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</si>
  <si>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</si>
  <si>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</si>
  <si>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</si>
  <si>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</si>
  <si>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</si>
  <si>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</si>
  <si>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</si>
  <si>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</si>
  <si>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</si>
  <si>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</si>
  <si>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</si>
  <si>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</si>
  <si>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</si>
  <si>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</si>
  <si>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</si>
  <si>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</si>
  <si>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</si>
  <si>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</si>
  <si>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</si>
  <si>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</si>
  <si>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</si>
  <si>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</si>
  <si>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</si>
  <si>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</si>
  <si>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</si>
  <si>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</si>
  <si>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</si>
  <si>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</si>
  <si>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</si>
  <si>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</si>
  <si>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</si>
  <si>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</si>
  <si>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</si>
  <si>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</si>
  <si>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</si>
  <si>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</si>
  <si>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</si>
  <si>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</si>
  <si>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</si>
  <si>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</si>
  <si>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</si>
  <si>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</si>
  <si>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</si>
  <si>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</si>
  <si>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</si>
  <si>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</si>
  <si>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</si>
  <si>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</si>
  <si>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</si>
  <si>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</si>
  <si>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</si>
  <si>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</si>
  <si>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</si>
  <si>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</si>
  <si>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</si>
  <si>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</si>
  <si>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</si>
  <si>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</si>
  <si>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</si>
  <si>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</si>
  <si>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</si>
  <si>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</si>
  <si>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</si>
  <si>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</si>
  <si>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</si>
  <si>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</si>
  <si>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</si>
  <si>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</si>
  <si>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</si>
  <si>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</si>
  <si>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</si>
  <si>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</si>
  <si>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</si>
  <si>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</si>
  <si>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</si>
  <si>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</si>
  <si>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</si>
  <si>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</si>
  <si>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</si>
  <si>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</si>
  <si>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</si>
  <si>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</si>
  <si>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</si>
  <si>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</si>
  <si>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</si>
  <si>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</si>
  <si>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</si>
  <si>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</si>
  <si>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</si>
  <si>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</si>
  <si>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</si>
  <si>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</si>
  <si>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</si>
  <si>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</si>
  <si>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</si>
  <si>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</si>
  <si>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</si>
  <si>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</si>
  <si>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</si>
  <si>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</si>
  <si>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</si>
  <si>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</si>
  <si>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</si>
  <si>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</si>
  <si>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</si>
  <si>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</si>
  <si>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</si>
  <si>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</si>
  <si>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</si>
  <si>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</si>
  <si>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</si>
  <si>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</si>
  <si>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</si>
  <si>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</si>
  <si>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</si>
  <si>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</si>
  <si>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</si>
  <si>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</si>
  <si>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</si>
  <si>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</si>
  <si>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</si>
  <si>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</si>
  <si>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</si>
  <si>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</si>
  <si>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</si>
  <si>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</si>
  <si>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</si>
  <si>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</si>
  <si>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</si>
  <si>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</si>
  <si>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</si>
  <si>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</si>
  <si>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</si>
  <si>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</si>
  <si>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</si>
  <si>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</si>
  <si>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</si>
  <si>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</si>
  <si>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</si>
  <si>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</si>
  <si>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</si>
  <si>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</si>
  <si>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</si>
  <si>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</si>
  <si>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</si>
  <si>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</si>
  <si>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</si>
  <si>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</si>
  <si>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</si>
  <si>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</si>
  <si>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</si>
  <si>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</si>
  <si>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</si>
  <si>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</si>
  <si>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</si>
  <si>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</si>
  <si>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</si>
  <si>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</si>
  <si>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</si>
  <si>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</si>
  <si>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</si>
  <si>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</si>
  <si>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</si>
  <si>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</si>
  <si>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</si>
  <si>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</si>
  <si>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</si>
  <si>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</si>
  <si>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</si>
  <si>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</si>
  <si>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</si>
  <si>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</si>
  <si>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</si>
  <si>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</si>
  <si>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</si>
  <si>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</si>
  <si>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</si>
  <si>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</si>
  <si>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</si>
  <si>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</si>
  <si>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</si>
  <si>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</si>
  <si>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</si>
  <si>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</si>
  <si>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</si>
  <si>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</si>
  <si>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</si>
  <si>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</si>
  <si>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</si>
  <si>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</si>
  <si>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</si>
  <si>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</si>
  <si>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</si>
  <si>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</si>
  <si>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</si>
  <si>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</si>
  <si>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</si>
  <si>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</si>
  <si>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</si>
  <si>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</si>
  <si>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</si>
  <si>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</si>
  <si>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</si>
  <si>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</si>
  <si>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</si>
  <si>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</si>
  <si>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</si>
  <si>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</si>
  <si>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</si>
  <si>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</si>
  <si>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</si>
  <si>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</si>
  <si>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</si>
  <si>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</si>
  <si>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</si>
  <si>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</si>
  <si>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</si>
  <si>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</si>
  <si>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</si>
  <si>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</si>
  <si>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</si>
  <si>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</si>
  <si>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</si>
  <si>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</si>
  <si>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</si>
  <si>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</si>
  <si>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</si>
  <si>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</si>
  <si>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</si>
  <si>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</si>
  <si>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</si>
  <si>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</si>
  <si>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</si>
  <si>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</si>
  <si>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</si>
  <si>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</si>
  <si>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</si>
  <si>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</si>
  <si>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</si>
  <si>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</si>
  <si>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</si>
  <si>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</si>
  <si>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</si>
  <si>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</si>
  <si>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</si>
  <si>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</si>
  <si>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</si>
  <si>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</si>
  <si>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</si>
  <si>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</si>
  <si>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</si>
  <si>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</si>
  <si>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</si>
  <si>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</si>
  <si>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</si>
  <si>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</si>
  <si>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</si>
  <si>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</si>
  <si>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</si>
  <si>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</si>
  <si>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</si>
  <si>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</si>
  <si>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</si>
  <si>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</si>
  <si>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</si>
  <si>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</si>
  <si>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</si>
  <si>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</si>
  <si>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</si>
  <si>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</si>
  <si>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</si>
  <si>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</si>
  <si>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</si>
  <si>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</si>
  <si>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</si>
  <si>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</si>
  <si>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</si>
  <si>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</si>
  <si>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</si>
  <si>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</si>
  <si>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</si>
  <si>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</si>
  <si>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</si>
  <si>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</si>
  <si>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</si>
  <si>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</si>
  <si>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</si>
  <si>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</si>
  <si>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</si>
  <si>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</si>
  <si>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</si>
  <si>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</si>
  <si>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</si>
  <si>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</si>
  <si>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</si>
  <si>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</si>
  <si>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</si>
  <si>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</si>
  <si>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</si>
  <si>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</si>
  <si>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</si>
  <si>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</si>
  <si>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</si>
  <si>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</si>
  <si>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</si>
  <si>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</si>
  <si>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</si>
  <si>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</si>
  <si>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</si>
  <si>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</si>
  <si>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</si>
  <si>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</si>
  <si>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</si>
  <si>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</si>
  <si>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</si>
  <si>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</si>
  <si>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</si>
  <si>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</si>
  <si>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</si>
  <si>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</si>
  <si>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</si>
  <si>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</si>
  <si>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</si>
  <si>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</si>
  <si>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</si>
  <si>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</si>
  <si>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</si>
  <si>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</si>
  <si>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</si>
  <si>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</si>
  <si>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</si>
  <si>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</si>
  <si>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</si>
  <si>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</si>
  <si>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</si>
  <si>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</si>
  <si>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</si>
  <si>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</si>
  <si>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</si>
  <si>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</si>
  <si>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</si>
  <si>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</si>
  <si>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</si>
  <si>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</si>
  <si>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</si>
  <si>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</si>
  <si>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</si>
  <si>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</si>
  <si>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</si>
  <si>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</si>
  <si>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</si>
  <si>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</si>
  <si>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</si>
  <si>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</si>
  <si>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</si>
  <si>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</si>
  <si>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</si>
  <si>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</si>
  <si>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</si>
  <si>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</si>
  <si>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</si>
  <si>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</si>
  <si>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</si>
  <si>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</si>
  <si>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</si>
  <si>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</si>
  <si>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</si>
  <si>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</si>
  <si>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</si>
  <si>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</si>
  <si>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</si>
  <si>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</si>
  <si>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</si>
  <si>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</si>
  <si>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</si>
  <si>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</si>
  <si>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</si>
  <si>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</si>
  <si>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</si>
  <si>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</si>
  <si>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</si>
  <si>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</si>
  <si>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</si>
  <si>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</si>
  <si>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</si>
  <si>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</si>
  <si>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</si>
  <si>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</si>
  <si>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</si>
  <si>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</si>
  <si>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</si>
  <si>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</si>
  <si>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</si>
  <si>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</si>
  <si>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</si>
  <si>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</si>
  <si>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</si>
  <si>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</si>
  <si>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</si>
  <si>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</si>
  <si>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</si>
  <si>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</si>
  <si>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</si>
  <si>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</si>
  <si>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</si>
  <si>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</si>
  <si>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</si>
  <si>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</si>
  <si>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</si>
  <si>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</si>
  <si>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</si>
  <si>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</si>
  <si>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</si>
  <si>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</si>
  <si>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</si>
  <si>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</si>
  <si>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</si>
  <si>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</si>
  <si>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</si>
  <si>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</si>
  <si>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</si>
  <si>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</si>
  <si>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</si>
  <si>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</si>
  <si>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</si>
  <si>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</si>
  <si>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</si>
  <si>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</si>
  <si>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</si>
  <si>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</si>
  <si>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</si>
  <si>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</si>
  <si>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</si>
  <si>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</si>
  <si>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</si>
  <si>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</si>
  <si>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</si>
  <si>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</si>
  <si>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</si>
  <si>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</si>
  <si>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</si>
  <si>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</si>
  <si>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</si>
  <si>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</si>
  <si>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</si>
  <si>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</si>
  <si>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</si>
  <si>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</si>
  <si>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</si>
  <si>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</si>
  <si>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</si>
  <si>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</si>
  <si>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</si>
  <si>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</si>
  <si>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</si>
  <si>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</si>
  <si>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</si>
  <si>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</si>
  <si>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</si>
  <si>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</si>
  <si>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</si>
  <si>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</si>
  <si>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</si>
  <si>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</si>
  <si>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</si>
  <si>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</si>
  <si>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</si>
  <si>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</si>
  <si>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</si>
  <si>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</si>
  <si>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</si>
  <si>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</si>
  <si>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</si>
  <si>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</si>
  <si>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</si>
  <si>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</si>
  <si>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</si>
  <si>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</si>
  <si>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</si>
  <si>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</si>
  <si>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</si>
  <si>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</si>
  <si>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</si>
  <si>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</si>
  <si>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</si>
  <si>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</si>
  <si>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</si>
  <si>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</si>
  <si>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</si>
  <si>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</si>
  <si>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</si>
  <si>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</si>
  <si>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</si>
  <si>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</si>
  <si>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</si>
  <si>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</si>
  <si>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</si>
  <si>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</si>
  <si>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</si>
  <si>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</si>
  <si>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</si>
  <si>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</si>
  <si>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</si>
  <si>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</si>
  <si>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</si>
  <si>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</si>
  <si>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</si>
  <si>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</si>
  <si>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</si>
  <si>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</si>
  <si>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</si>
  <si>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</si>
  <si>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</si>
  <si>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</si>
  <si>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</si>
  <si>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</si>
  <si>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</si>
  <si>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</si>
  <si>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</si>
  <si>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</si>
  <si>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</si>
  <si>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</si>
  <si>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</si>
  <si>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</si>
  <si>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</si>
  <si>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</si>
  <si>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</si>
  <si>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</si>
  <si>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</si>
  <si>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</si>
  <si>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</si>
  <si>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</si>
  <si>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</si>
  <si>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</si>
  <si>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</si>
  <si>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</si>
  <si>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</si>
  <si>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</si>
  <si>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</si>
  <si>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</si>
  <si>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</si>
  <si>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</si>
  <si>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</si>
  <si>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</si>
  <si>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</si>
  <si>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</si>
  <si>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</si>
  <si>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</si>
  <si>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</si>
  <si>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</si>
  <si>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</si>
  <si>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</si>
  <si>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</si>
  <si>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</si>
  <si>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</si>
  <si>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</si>
  <si>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</si>
  <si>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</si>
  <si>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</si>
  <si>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</si>
  <si>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</si>
  <si>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</si>
  <si>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</si>
  <si>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</si>
  <si>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</si>
  <si>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</si>
  <si>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</si>
  <si>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</si>
  <si>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</si>
  <si>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</si>
  <si>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</si>
  <si>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</si>
  <si>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</si>
  <si>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</si>
  <si>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</si>
  <si>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</si>
  <si>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</si>
  <si>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</si>
  <si>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</si>
  <si>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</si>
  <si>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</si>
  <si>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</si>
  <si>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</si>
  <si>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</si>
  <si>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</si>
  <si>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</si>
  <si>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</si>
  <si>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</si>
  <si>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</si>
  <si>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</si>
  <si>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</si>
  <si>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</si>
  <si>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</si>
  <si>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</si>
  <si>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</si>
  <si>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</si>
  <si>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</si>
  <si>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</si>
  <si>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</si>
  <si>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</si>
  <si>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</si>
  <si>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</si>
  <si>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</si>
  <si>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</si>
  <si>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</si>
  <si>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</si>
  <si>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</si>
  <si>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</si>
  <si>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</si>
  <si>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</si>
  <si>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</si>
  <si>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</si>
  <si>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</si>
  <si>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</si>
  <si>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</si>
  <si>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</si>
  <si>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</si>
  <si>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</si>
  <si>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</si>
  <si>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</si>
  <si>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</si>
  <si>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</si>
  <si>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</si>
  <si>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</si>
  <si>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</si>
  <si>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</si>
  <si>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</si>
  <si>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</si>
  <si>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</si>
  <si>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</si>
  <si>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</si>
  <si>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</si>
  <si>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</si>
  <si>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</si>
  <si>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</si>
  <si>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</si>
  <si>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</si>
  <si>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</si>
  <si>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</si>
  <si>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</si>
  <si>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</si>
  <si>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</si>
  <si>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</si>
  <si>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</si>
  <si>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</si>
  <si>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</si>
  <si>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</si>
  <si>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</si>
  <si>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</si>
  <si>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</si>
  <si>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</si>
  <si>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</si>
  <si>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</si>
  <si>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</si>
  <si>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</si>
  <si>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</si>
  <si>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</si>
  <si>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</si>
  <si>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</si>
  <si>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</si>
  <si>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</si>
  <si>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</si>
  <si>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</si>
  <si>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</si>
  <si>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</si>
  <si>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</si>
  <si>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</si>
  <si>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</si>
  <si>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</si>
  <si>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</si>
  <si>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</si>
  <si>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</si>
  <si>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</si>
  <si>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</si>
  <si>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</si>
  <si>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</si>
  <si>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</si>
  <si>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</si>
  <si>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</si>
  <si>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</si>
  <si>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</si>
  <si>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</si>
  <si>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</si>
  <si>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</si>
  <si>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</si>
  <si>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</si>
  <si>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</si>
  <si>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</si>
  <si>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</si>
  <si>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</si>
  <si>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</si>
  <si>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</si>
  <si>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</si>
  <si>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</si>
  <si>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</si>
  <si>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</si>
  <si>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</si>
  <si>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</si>
  <si>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</si>
  <si>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</si>
  <si>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</si>
  <si>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</si>
  <si>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</si>
  <si>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</si>
  <si>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</si>
  <si>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</si>
  <si>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</si>
  <si>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</si>
  <si>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</si>
  <si>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</si>
  <si>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</si>
  <si>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</si>
  <si>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</si>
  <si>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</si>
  <si>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</si>
  <si>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</si>
  <si>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</si>
  <si>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</si>
  <si>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</si>
  <si>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</si>
  <si>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</si>
  <si>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</si>
  <si>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</si>
  <si>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</si>
  <si>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</si>
  <si>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</si>
  <si>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</si>
  <si>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</si>
  <si>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</si>
  <si>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</si>
  <si>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</si>
  <si>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</si>
  <si>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</si>
  <si>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</si>
  <si>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</si>
  <si>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</si>
  <si>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</si>
  <si>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</si>
  <si>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</si>
  <si>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</si>
  <si>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</si>
  <si>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</si>
  <si>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</si>
  <si>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</si>
  <si>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</si>
  <si>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</si>
  <si>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</si>
  <si>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</si>
  <si>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</si>
  <si>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</si>
  <si>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</si>
  <si>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</si>
  <si>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</si>
  <si>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</si>
  <si>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</si>
  <si>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</si>
  <si>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</si>
  <si>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</si>
  <si>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</si>
  <si>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</si>
  <si>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</si>
  <si>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</si>
  <si>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</si>
  <si>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</si>
  <si>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</si>
  <si>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</si>
  <si>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</si>
  <si>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</si>
  <si>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</si>
  <si>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</si>
  <si>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</si>
  <si>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</si>
  <si>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</si>
  <si>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</si>
  <si>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</si>
  <si>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</si>
  <si>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</si>
  <si>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</si>
  <si>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</si>
  <si>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</si>
  <si>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</si>
  <si>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</si>
  <si>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</si>
  <si>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</si>
  <si>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</si>
  <si>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</si>
  <si>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</si>
  <si>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</si>
  <si>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</si>
  <si>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</si>
  <si>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</si>
  <si>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</si>
  <si>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</si>
  <si>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</si>
  <si>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</si>
  <si>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</si>
  <si>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</si>
  <si>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</si>
  <si>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</si>
  <si>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</si>
  <si>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</si>
  <si>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</si>
  <si>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</si>
  <si>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</si>
  <si>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</si>
  <si>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</si>
  <si>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</si>
  <si>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</si>
  <si>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</si>
  <si>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</si>
  <si>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</si>
  <si>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</si>
  <si>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</si>
  <si>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</si>
  <si>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</si>
  <si>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</si>
  <si>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</si>
  <si>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</si>
  <si>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</si>
  <si>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</si>
  <si>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</si>
  <si>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</si>
  <si>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</si>
  <si>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</si>
  <si>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</si>
  <si>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</si>
  <si>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</si>
  <si>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</si>
  <si>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</si>
  <si>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</si>
  <si>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</si>
  <si>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</si>
  <si>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</si>
  <si>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</si>
  <si>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</si>
  <si>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</si>
  <si>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</si>
  <si>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</si>
  <si>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</si>
  <si>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</si>
  <si>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</si>
  <si>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</si>
  <si>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</si>
  <si>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</si>
  <si>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</si>
  <si>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</si>
  <si>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</si>
  <si>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</si>
  <si>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</si>
  <si>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</si>
  <si>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</si>
  <si>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</si>
  <si>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</si>
  <si>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</si>
  <si>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</si>
  <si>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</si>
  <si>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</si>
  <si>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</si>
  <si>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</si>
  <si>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</si>
  <si>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</si>
  <si>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</si>
  <si>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</si>
  <si>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</si>
  <si>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</si>
  <si>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</si>
  <si>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</si>
  <si>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</si>
  <si>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</si>
  <si>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</si>
  <si>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</si>
  <si>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</si>
  <si>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</si>
  <si>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</si>
  <si>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</si>
  <si>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</si>
  <si>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</si>
  <si>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</si>
  <si>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</si>
  <si>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</si>
  <si>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</si>
  <si>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</si>
  <si>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</si>
  <si>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</si>
  <si>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</si>
  <si>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</si>
  <si>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</si>
  <si>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</si>
  <si>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</si>
  <si>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</si>
  <si>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</si>
  <si>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</si>
  <si>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</si>
  <si>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</si>
  <si>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</si>
  <si>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</si>
  <si>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</si>
  <si>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</si>
  <si>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</si>
  <si>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</si>
  <si>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</si>
  <si>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</si>
  <si>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</si>
  <si>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</si>
  <si>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</si>
  <si>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</si>
  <si>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</si>
  <si>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</si>
  <si>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</si>
  <si>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</si>
  <si>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</si>
  <si>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</si>
  <si>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</si>
  <si>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</si>
  <si>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</si>
  <si>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</si>
  <si>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</si>
  <si>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</si>
  <si>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</si>
  <si>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</si>
  <si>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</si>
  <si>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</si>
  <si>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</si>
  <si>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</si>
  <si>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</si>
  <si>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</si>
  <si>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</si>
  <si>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</si>
  <si>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</si>
  <si>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</si>
  <si>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</si>
  <si>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</si>
  <si>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</si>
  <si>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</si>
  <si>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</si>
  <si>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</si>
  <si>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</si>
  <si>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</si>
  <si>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</si>
  <si>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</si>
  <si>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</si>
  <si>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</si>
  <si>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</si>
  <si>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</si>
  <si>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</si>
  <si>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</si>
  <si>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</si>
  <si>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</si>
  <si>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</si>
  <si>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</si>
  <si>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</si>
  <si>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</si>
  <si>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</si>
  <si>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</si>
  <si>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</si>
  <si>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</si>
  <si>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</si>
  <si>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</si>
  <si>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</si>
  <si>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</si>
  <si>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</si>
  <si>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</si>
  <si>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</si>
  <si>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</si>
  <si>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</si>
  <si>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</si>
  <si>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</si>
  <si>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</si>
  <si>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</si>
  <si>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</si>
  <si>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</si>
  <si>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</si>
  <si>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</si>
  <si>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</si>
  <si>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</si>
  <si>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</si>
  <si>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</si>
  <si>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</si>
  <si>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</si>
  <si>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</si>
  <si>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</si>
  <si>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</si>
  <si>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</si>
  <si>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</si>
  <si>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</si>
  <si>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</si>
  <si>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</si>
  <si>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</si>
  <si>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</si>
  <si>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</si>
  <si>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</si>
  <si>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</si>
  <si>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</si>
  <si>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</si>
  <si>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</si>
  <si>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</si>
  <si>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</si>
  <si>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</si>
  <si>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</si>
  <si>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</si>
  <si>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</si>
  <si>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</si>
  <si>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</si>
  <si>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</si>
  <si>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</si>
  <si>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</si>
  <si>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</si>
  <si>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</si>
  <si>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</si>
  <si>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</si>
  <si>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</si>
  <si>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</si>
  <si>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</si>
  <si>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</si>
  <si>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</si>
  <si>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</si>
  <si>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</si>
  <si>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</si>
  <si>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</si>
  <si>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</si>
  <si>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</si>
  <si>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</si>
  <si>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</si>
  <si>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</si>
  <si>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</si>
  <si>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</si>
  <si>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</si>
  <si>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</si>
  <si>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</si>
  <si>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</si>
  <si>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</si>
  <si>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</si>
  <si>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</si>
  <si>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</si>
  <si>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</si>
  <si>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</si>
  <si>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</si>
  <si>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</si>
  <si>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</si>
  <si>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</si>
  <si>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</si>
  <si>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</si>
  <si>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</si>
  <si>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</si>
  <si>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</si>
  <si>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</si>
  <si>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</si>
  <si>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</si>
  <si>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</si>
  <si>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</si>
  <si>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</si>
  <si>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</si>
  <si>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</si>
  <si>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</si>
  <si>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</si>
  <si>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</si>
  <si>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</si>
  <si>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</si>
  <si>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</si>
  <si>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</si>
  <si>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</si>
  <si>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</si>
  <si>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</si>
  <si>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</si>
  <si>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</si>
  <si>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</si>
  <si>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</si>
  <si>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</si>
  <si>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</si>
  <si>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</si>
  <si>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</si>
  <si>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</si>
  <si>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</si>
  <si>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</si>
  <si>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</si>
  <si>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</si>
  <si>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</si>
  <si>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</si>
  <si>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</si>
  <si>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</si>
  <si>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</si>
  <si>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</si>
  <si>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</si>
  <si>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</si>
  <si>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</si>
  <si>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</si>
  <si>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</si>
  <si>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</si>
  <si>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</si>
  <si>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</si>
  <si>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</si>
  <si>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</si>
  <si>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</si>
  <si>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</si>
  <si>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</si>
  <si>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</si>
  <si>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</si>
  <si>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</si>
  <si>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</si>
  <si>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</si>
  <si>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</si>
  <si>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</si>
  <si>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</si>
  <si>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</si>
  <si>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</si>
  <si>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</si>
  <si>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</si>
  <si>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</si>
  <si>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</si>
  <si>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</si>
  <si>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</si>
  <si>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</si>
  <si>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</si>
  <si>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</si>
  <si>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</si>
  <si>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</si>
  <si>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</si>
  <si>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</si>
  <si>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</si>
  <si>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</si>
  <si>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</si>
  <si>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</si>
  <si>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</si>
  <si>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</si>
  <si>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</si>
  <si>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</si>
  <si>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</si>
  <si>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</si>
  <si>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</si>
  <si>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</si>
  <si>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</si>
  <si>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</si>
  <si>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</si>
  <si>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</si>
  <si>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</si>
  <si>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</si>
  <si>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</si>
  <si>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</si>
  <si>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</si>
  <si>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</si>
  <si>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</si>
  <si>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</si>
  <si>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</si>
  <si>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</si>
  <si>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</si>
  <si>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</si>
  <si>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</si>
  <si>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</si>
  <si>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</si>
  <si>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</si>
  <si>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</si>
  <si>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</si>
  <si>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</si>
  <si>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</si>
  <si>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</si>
  <si>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</si>
  <si>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</si>
  <si>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</si>
  <si>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</si>
  <si>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</si>
  <si>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</si>
  <si>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</si>
  <si>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</si>
  <si>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</si>
  <si>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</si>
  <si>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</si>
  <si>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</si>
  <si>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</si>
  <si>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</si>
  <si>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</si>
  <si>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</si>
  <si>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</si>
  <si>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</si>
  <si>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</si>
  <si>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</si>
  <si>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</si>
  <si>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</si>
  <si>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</si>
  <si>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</si>
  <si>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</si>
  <si>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</si>
  <si>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</si>
  <si>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</si>
  <si>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</si>
  <si>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</si>
  <si>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</si>
  <si>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</si>
  <si>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</si>
  <si>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</si>
  <si>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</si>
  <si>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</si>
  <si>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</si>
  <si>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</si>
  <si>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</si>
  <si>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</si>
  <si>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</si>
  <si>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</si>
  <si>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</si>
  <si>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</si>
  <si>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</si>
  <si>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</si>
  <si>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</si>
  <si>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</si>
  <si>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</si>
  <si>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</si>
  <si>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</si>
  <si>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</si>
  <si>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</si>
  <si>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</si>
  <si>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</si>
  <si>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</si>
  <si>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</si>
  <si>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</si>
  <si>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</si>
  <si>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</si>
  <si>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</si>
  <si>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</si>
  <si>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</si>
  <si>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</si>
  <si>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</si>
  <si>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</si>
  <si>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</si>
  <si>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</si>
  <si>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</si>
  <si>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</si>
  <si>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</si>
  <si>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</si>
  <si>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</si>
  <si>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</si>
  <si>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</si>
  <si>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</si>
  <si>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</si>
  <si>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</si>
  <si>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</si>
  <si>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</si>
  <si>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</si>
  <si>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</si>
  <si>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</si>
  <si>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</si>
  <si>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</si>
  <si>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</si>
  <si>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</si>
  <si>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</si>
  <si>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</si>
  <si>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</si>
  <si>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</si>
  <si>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</si>
  <si>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</si>
  <si>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</si>
  <si>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</si>
  <si>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</si>
  <si>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</si>
  <si>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</si>
  <si>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</si>
  <si>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</si>
  <si>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</si>
  <si>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</si>
  <si>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</si>
  <si>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</si>
  <si>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</si>
  <si>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</si>
  <si>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</si>
  <si>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</si>
  <si>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</si>
  <si>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</si>
  <si>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</si>
  <si>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</si>
  <si>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</si>
  <si>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</si>
  <si>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</si>
  <si>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</si>
  <si>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</si>
  <si>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</si>
  <si>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</si>
  <si>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</si>
  <si>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</si>
  <si>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</si>
  <si>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</si>
  <si>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</si>
  <si>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</si>
  <si>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</si>
  <si>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</si>
  <si>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</si>
  <si>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</si>
  <si>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</si>
  <si>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</si>
  <si>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</si>
  <si>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</si>
  <si>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</si>
  <si>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</si>
  <si>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</si>
  <si>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</si>
  <si>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</si>
  <si>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</si>
  <si>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</si>
  <si>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</si>
  <si>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</si>
  <si>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</si>
  <si>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</si>
  <si>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</si>
  <si>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</si>
  <si>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</si>
  <si>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</si>
  <si>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</si>
  <si>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</si>
  <si>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</si>
  <si>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</si>
  <si>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</si>
  <si>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</si>
  <si>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</si>
  <si>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</si>
  <si>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</si>
  <si>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</si>
  <si>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</si>
  <si>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</si>
  <si>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</si>
  <si>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</si>
  <si>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</si>
  <si>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</si>
  <si>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</si>
  <si>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</si>
  <si>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</si>
  <si>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</si>
  <si>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</si>
  <si>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</si>
  <si>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</si>
  <si>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</si>
  <si>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</si>
  <si>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</si>
  <si>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</si>
  <si>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</si>
  <si>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</si>
  <si>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</si>
  <si>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</si>
  <si>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</si>
  <si>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</si>
  <si>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</si>
  <si>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</si>
  <si>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</si>
  <si>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</si>
  <si>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</si>
  <si>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</si>
  <si>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</si>
  <si>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</si>
  <si>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</si>
  <si>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</si>
  <si>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</si>
  <si>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</si>
  <si>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</si>
  <si>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</si>
  <si>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</si>
  <si>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</si>
  <si>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</si>
  <si>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</si>
  <si>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</si>
  <si>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</si>
  <si>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</si>
  <si>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</si>
  <si>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</si>
  <si>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</si>
  <si>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</si>
  <si>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</si>
  <si>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</si>
  <si>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</si>
  <si>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</si>
  <si>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</si>
  <si>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</si>
  <si>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</si>
  <si>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</si>
  <si>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</si>
  <si>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</si>
  <si>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</si>
  <si>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</si>
  <si>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</si>
  <si>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</si>
  <si>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</si>
  <si>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</si>
  <si>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</si>
  <si>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</si>
  <si>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</si>
  <si>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</si>
  <si>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</si>
  <si>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</si>
  <si>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</si>
  <si>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</si>
  <si>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</si>
  <si>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</si>
  <si>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</si>
  <si>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</si>
  <si>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</si>
  <si>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</si>
  <si>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</si>
  <si>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</si>
  <si>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</si>
  <si>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</si>
  <si>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</si>
  <si>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</si>
  <si>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</si>
  <si>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</si>
  <si>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</si>
  <si>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</si>
  <si>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</si>
  <si>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</si>
  <si>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</si>
  <si>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</si>
  <si>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</si>
  <si>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</si>
  <si>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</si>
  <si>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</si>
  <si>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</si>
  <si>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</si>
  <si>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</si>
  <si>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</si>
  <si>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</si>
  <si>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</si>
  <si>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</si>
  <si>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</si>
  <si>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</si>
  <si>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</si>
  <si>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</si>
  <si>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</si>
  <si>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</si>
  <si>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</si>
  <si>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</si>
  <si>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</si>
  <si>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</si>
  <si>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</si>
  <si>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</si>
  <si>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</si>
  <si>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</si>
  <si>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</si>
  <si>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</si>
  <si>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</si>
  <si>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</si>
  <si>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</si>
  <si>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</si>
  <si>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</si>
  <si>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</si>
  <si>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</si>
  <si>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</si>
  <si>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</si>
  <si>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</si>
  <si>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</si>
  <si>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</si>
  <si>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</si>
  <si>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</si>
  <si>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</si>
  <si>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</si>
  <si>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</si>
  <si>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</si>
  <si>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</si>
  <si>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</si>
  <si>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</si>
  <si>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</si>
  <si>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</si>
  <si>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</si>
  <si>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</si>
  <si>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</si>
  <si>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</si>
  <si>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</si>
  <si>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</si>
  <si>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</si>
  <si>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</si>
  <si>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</si>
  <si>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</si>
  <si>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</si>
  <si>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</si>
  <si>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</si>
  <si>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</si>
  <si>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</si>
  <si>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</si>
  <si>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</si>
  <si>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</si>
  <si>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</si>
  <si>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</si>
  <si>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</si>
  <si>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</si>
  <si>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</si>
  <si>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</si>
  <si>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</si>
  <si>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</si>
  <si>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</si>
  <si>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</si>
  <si>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</si>
  <si>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</si>
  <si>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</si>
  <si>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</si>
  <si>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</si>
  <si>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</si>
  <si>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</si>
  <si>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</si>
  <si>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</si>
  <si>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</si>
  <si>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</si>
  <si>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</si>
  <si>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</si>
  <si>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</si>
  <si>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</si>
  <si>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</si>
  <si>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</si>
  <si>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</si>
  <si>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</si>
  <si>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</si>
  <si>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</si>
  <si>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</si>
  <si>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</si>
  <si>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</si>
  <si>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</si>
  <si>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</si>
  <si>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</si>
  <si>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</si>
  <si>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</si>
  <si>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</si>
  <si>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</si>
  <si>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</si>
  <si>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</si>
  <si>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</si>
  <si>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</si>
  <si>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</si>
  <si>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</si>
  <si>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</si>
  <si>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</si>
  <si>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</si>
  <si>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</si>
  <si>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</si>
  <si>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</si>
  <si>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</si>
  <si>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</si>
  <si>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</si>
  <si>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</si>
  <si>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</si>
  <si>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</si>
  <si>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</si>
  <si>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</si>
  <si>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</si>
  <si>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</si>
  <si>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</si>
  <si>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</si>
  <si>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</si>
  <si>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</si>
  <si>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</si>
  <si>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</si>
  <si>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</si>
  <si>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</si>
  <si>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</si>
  <si>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</si>
  <si>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</si>
  <si>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</si>
  <si>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</si>
  <si>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</si>
  <si>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</si>
  <si>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</si>
  <si>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</si>
  <si>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</si>
  <si>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</si>
  <si>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</si>
  <si>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</si>
  <si>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</si>
  <si>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</si>
  <si>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</si>
  <si>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</si>
  <si>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</si>
  <si>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</si>
  <si>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</si>
  <si>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</si>
  <si>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</si>
  <si>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</si>
  <si>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</si>
  <si>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</si>
  <si>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</si>
  <si>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</si>
  <si>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</si>
  <si>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</si>
  <si>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</si>
  <si>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</si>
  <si>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</si>
  <si>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</si>
  <si>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</si>
  <si>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</si>
  <si>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</si>
  <si>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</si>
  <si>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</si>
  <si>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</si>
  <si>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</si>
  <si>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</si>
  <si>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</si>
  <si>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</si>
  <si>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</si>
  <si>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</si>
  <si>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</si>
  <si>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</si>
  <si>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</si>
  <si>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</si>
  <si>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</si>
  <si>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</si>
  <si>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</si>
  <si>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</si>
  <si>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</si>
  <si>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</si>
  <si>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</si>
  <si>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</si>
  <si>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</si>
  <si>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</si>
  <si>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</si>
  <si>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</si>
  <si>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</si>
  <si>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</si>
  <si>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</si>
  <si>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</si>
  <si>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</si>
  <si>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</si>
  <si>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</si>
  <si>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</si>
  <si>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</si>
  <si>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</si>
  <si>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</si>
  <si>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</si>
  <si>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</si>
  <si>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</si>
  <si>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</si>
  <si>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</si>
  <si>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</si>
  <si>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</si>
  <si>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</si>
  <si>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</si>
  <si>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</si>
  <si>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</si>
  <si>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</si>
  <si>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</si>
  <si>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</si>
  <si>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</si>
  <si>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</si>
  <si>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</si>
  <si>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</si>
  <si>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</si>
  <si>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</si>
  <si>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</si>
  <si>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</si>
  <si>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</si>
  <si>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</si>
  <si>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</si>
  <si>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</si>
  <si>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</si>
  <si>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</si>
  <si>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</si>
  <si>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</si>
  <si>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</si>
  <si>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</si>
  <si>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</si>
  <si>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</si>
  <si>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</si>
  <si>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</si>
  <si>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</si>
  <si>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</si>
  <si>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</si>
  <si>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</si>
  <si>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</si>
  <si>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</si>
  <si>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</si>
  <si>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</si>
  <si>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</si>
  <si>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</si>
  <si>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</si>
  <si>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</si>
  <si>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</si>
  <si>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</si>
  <si>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</si>
  <si>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</si>
  <si>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</si>
  <si>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</si>
  <si>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</si>
  <si>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</si>
  <si>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</si>
  <si>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</si>
  <si>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</si>
  <si>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</si>
  <si>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</si>
  <si>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</si>
  <si>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</si>
  <si>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</si>
  <si>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</si>
  <si>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</si>
  <si>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</si>
  <si>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</si>
  <si>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</si>
  <si>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</si>
  <si>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</si>
  <si>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</si>
  <si>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</si>
  <si>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</si>
  <si>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</si>
  <si>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</si>
  <si>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</si>
  <si>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</si>
  <si>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</si>
  <si>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</si>
  <si>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</si>
  <si>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</si>
  <si>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</si>
  <si>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</si>
  <si>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</si>
  <si>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</si>
  <si>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</si>
  <si>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</si>
  <si>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</si>
  <si>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</si>
  <si>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</si>
  <si>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</si>
  <si>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</si>
  <si>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</si>
  <si>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</si>
  <si>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</si>
  <si>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</si>
  <si>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</si>
  <si>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</si>
  <si>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</si>
  <si>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</si>
  <si>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</si>
  <si>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</si>
  <si>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</si>
  <si>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</si>
  <si>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</si>
  <si>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</si>
  <si>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</si>
  <si>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</si>
  <si>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</si>
  <si>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</si>
  <si>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</si>
  <si>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</si>
  <si>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</si>
  <si>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</si>
  <si>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</si>
  <si>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</si>
  <si>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</si>
  <si>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</si>
  <si>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</si>
  <si>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</si>
  <si>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</si>
  <si>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</si>
  <si>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</si>
  <si>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</si>
  <si>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</si>
  <si>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</si>
  <si>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</si>
  <si>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</si>
  <si>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</si>
  <si>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</si>
  <si>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</si>
  <si>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</si>
  <si>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</si>
  <si>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</si>
  <si>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</si>
  <si>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</si>
  <si>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</si>
  <si>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</si>
  <si>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</si>
  <si>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</si>
  <si>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</si>
  <si>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</si>
  <si>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</si>
  <si>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</si>
  <si>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</si>
  <si>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</si>
  <si>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</si>
  <si>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</si>
  <si>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</si>
  <si>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</si>
  <si>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</si>
  <si>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</si>
  <si>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</si>
  <si>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</si>
  <si>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</si>
  <si>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</si>
  <si>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</si>
  <si>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</si>
  <si>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</si>
  <si>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</si>
  <si>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</si>
  <si>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</si>
  <si>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</si>
  <si>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</si>
  <si>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</si>
  <si>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</si>
  <si>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</si>
  <si>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</si>
  <si>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</si>
  <si>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</si>
  <si>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</si>
  <si>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</si>
  <si>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</si>
  <si>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</si>
  <si>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</si>
  <si>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</si>
  <si>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</si>
  <si>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</si>
  <si>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</si>
  <si>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</si>
  <si>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</si>
  <si>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</si>
  <si>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</si>
  <si>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</si>
  <si>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</si>
  <si>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</si>
  <si>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</si>
  <si>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</si>
  <si>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</si>
  <si>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</si>
  <si>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</si>
  <si>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</si>
  <si>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</si>
  <si>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</si>
  <si>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</si>
  <si>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</si>
  <si>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</si>
  <si>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</si>
  <si>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</si>
  <si>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</si>
  <si>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</si>
  <si>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</si>
  <si>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</si>
  <si>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</si>
  <si>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</si>
  <si>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</si>
  <si>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</si>
  <si>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</si>
  <si>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</si>
  <si>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</si>
  <si>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</si>
  <si>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</si>
  <si>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</si>
  <si>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</si>
  <si>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</si>
  <si>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</si>
  <si>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</si>
  <si>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</si>
  <si>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</si>
  <si>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</si>
  <si>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</si>
  <si>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</si>
  <si>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</si>
  <si>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</si>
  <si>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</si>
  <si>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</si>
  <si>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</si>
  <si>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</si>
  <si>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</si>
  <si>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</si>
  <si>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</si>
  <si>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</si>
  <si>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</si>
  <si>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</si>
  <si>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</si>
  <si>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</si>
  <si>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</si>
  <si>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</si>
  <si>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</si>
  <si>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</si>
  <si>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</si>
  <si>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</si>
  <si>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</si>
  <si>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</si>
  <si>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</si>
  <si>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</si>
  <si>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</si>
  <si>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</si>
  <si>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</si>
  <si>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</si>
  <si>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</si>
  <si>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</si>
  <si>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</si>
  <si>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</si>
  <si>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</si>
  <si>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</si>
  <si>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</si>
  <si>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</si>
  <si>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</si>
  <si>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</si>
  <si>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</si>
  <si>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</si>
  <si>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</si>
  <si>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</si>
  <si>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</si>
  <si>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</si>
  <si>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</si>
  <si>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</si>
  <si>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</si>
  <si>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</si>
  <si>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</si>
  <si>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</si>
  <si>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</si>
  <si>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</si>
  <si>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</si>
  <si>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</si>
  <si>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</si>
  <si>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</si>
  <si>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</si>
  <si>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</si>
  <si>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</si>
  <si>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</si>
  <si>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</si>
  <si>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</si>
  <si>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</si>
  <si>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</si>
  <si>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</si>
  <si>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</si>
  <si>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</si>
  <si>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</si>
  <si>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</si>
  <si>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</si>
  <si>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</si>
  <si>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</si>
  <si>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</si>
  <si>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</si>
  <si>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</si>
  <si>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</si>
  <si>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</si>
  <si>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</si>
  <si>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</si>
  <si>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</si>
  <si>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</si>
  <si>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</si>
  <si>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</si>
  <si>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</si>
  <si>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</si>
  <si>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</si>
  <si>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</si>
  <si>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</si>
  <si>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</si>
  <si>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</si>
  <si>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</si>
  <si>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</si>
  <si>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</si>
  <si>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</si>
  <si>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</si>
  <si>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</si>
  <si>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</si>
  <si>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</si>
  <si>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</si>
  <si>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</si>
  <si>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</si>
  <si>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</si>
  <si>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</si>
  <si>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</si>
  <si>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</si>
  <si>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</si>
  <si>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</si>
  <si>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</si>
  <si>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</si>
  <si>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</si>
  <si>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</si>
  <si>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</si>
  <si>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</si>
  <si>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</si>
  <si>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</si>
  <si>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</si>
  <si>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</si>
  <si>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</si>
  <si>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</si>
  <si>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</si>
  <si>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</si>
  <si>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</si>
  <si>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</si>
  <si>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</si>
  <si>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</si>
  <si>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</si>
  <si>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</si>
  <si>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</si>
  <si>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</si>
  <si>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</si>
  <si>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</si>
  <si>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</si>
  <si>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</si>
  <si>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</si>
  <si>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</si>
  <si>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</si>
  <si>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</si>
  <si>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</si>
  <si>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</si>
  <si>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</si>
  <si>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</si>
  <si>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</si>
  <si>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</si>
  <si>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</si>
  <si>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</si>
  <si>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</si>
  <si>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</si>
  <si>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</si>
  <si>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</si>
  <si>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</si>
  <si>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</si>
  <si>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</si>
  <si>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</si>
  <si>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</si>
  <si>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</si>
  <si>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</si>
  <si>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</si>
  <si>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</si>
  <si>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</si>
  <si>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</si>
  <si>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</si>
  <si>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</si>
  <si>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</si>
  <si>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</si>
  <si>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</si>
  <si>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</si>
  <si>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</si>
  <si>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</si>
  <si>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</si>
  <si>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</si>
  <si>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</si>
  <si>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</si>
  <si>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</si>
  <si>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</si>
  <si>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</si>
  <si>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</si>
  <si>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</si>
  <si>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</si>
  <si>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</si>
  <si>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</si>
  <si>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</si>
  <si>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</si>
  <si>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</si>
  <si>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</si>
  <si>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</si>
  <si>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</si>
  <si>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</si>
  <si>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</si>
  <si>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</si>
  <si>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</si>
  <si>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</si>
  <si>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</si>
  <si>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</si>
  <si>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</si>
  <si>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</si>
  <si>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</si>
  <si>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</si>
  <si>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</si>
  <si>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</si>
  <si>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</si>
  <si>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</si>
  <si>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</si>
  <si>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</si>
  <si>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</si>
  <si>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</si>
  <si>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</si>
  <si>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</si>
  <si>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</si>
  <si>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</si>
  <si>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</si>
  <si>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</si>
  <si>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</si>
  <si>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</si>
  <si>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</si>
  <si>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</si>
  <si>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</si>
  <si>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</si>
  <si>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</si>
  <si>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</si>
  <si>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</si>
  <si>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</si>
  <si>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</si>
  <si>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</si>
  <si>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</si>
  <si>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</si>
  <si>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</si>
  <si>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</si>
  <si>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</si>
  <si>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</si>
  <si>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</si>
  <si>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</si>
  <si>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</si>
  <si>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</si>
  <si>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</si>
  <si>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</si>
  <si>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</si>
  <si>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</si>
  <si>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</si>
  <si>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</si>
  <si>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</si>
  <si>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</si>
  <si>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</si>
  <si>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</si>
  <si>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</si>
  <si>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</si>
  <si>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</si>
  <si>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</si>
  <si>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</si>
  <si>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</si>
  <si>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</si>
  <si>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</si>
  <si>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</si>
  <si>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</si>
  <si>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</si>
  <si>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</si>
  <si>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</si>
  <si>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</si>
  <si>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</si>
  <si>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</si>
  <si>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</si>
  <si>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</si>
  <si>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</si>
  <si>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</si>
  <si>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</si>
  <si>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</si>
  <si>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</si>
  <si>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</si>
  <si>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</si>
  <si>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</si>
  <si>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</si>
  <si>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</si>
  <si>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</si>
  <si>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</si>
  <si>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</si>
  <si>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</si>
  <si>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</si>
  <si>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</si>
  <si>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</si>
  <si>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</si>
  <si>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</si>
  <si>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</si>
  <si>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</si>
  <si>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</si>
  <si>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</si>
  <si>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</si>
  <si>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</si>
  <si>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</si>
  <si>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</si>
  <si>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</si>
  <si>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</si>
  <si>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</si>
  <si>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</si>
  <si>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</si>
  <si>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</si>
  <si>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</si>
  <si>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</si>
  <si>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</si>
  <si>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</si>
  <si>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</si>
  <si>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</si>
  <si>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</si>
  <si>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</si>
  <si>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</si>
  <si>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</si>
  <si>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</si>
  <si>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</si>
  <si>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</si>
  <si>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</si>
  <si>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</si>
  <si>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</si>
  <si>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</si>
  <si>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</si>
  <si>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</si>
  <si>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</si>
  <si>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</si>
  <si>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</si>
  <si>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</si>
  <si>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</si>
  <si>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</si>
  <si>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</si>
  <si>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</si>
  <si>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</si>
  <si>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</si>
  <si>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</si>
  <si>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</si>
  <si>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</si>
  <si>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</si>
  <si>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</si>
  <si>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</si>
  <si>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</si>
  <si>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</si>
  <si>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</si>
  <si>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</si>
  <si>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</si>
  <si>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</si>
  <si>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</si>
  <si>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</si>
  <si>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</si>
  <si>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</si>
  <si>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</si>
  <si>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</si>
  <si>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</si>
  <si>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</si>
  <si>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</si>
  <si>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</si>
  <si>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</si>
  <si>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</si>
  <si>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</si>
  <si>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</si>
  <si>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</si>
  <si>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</si>
  <si>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</si>
  <si>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</si>
  <si>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</si>
  <si>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</si>
  <si>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</si>
  <si>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</si>
  <si>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</si>
  <si>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</si>
  <si>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</si>
  <si>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</si>
  <si>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</si>
  <si>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</si>
  <si>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</si>
  <si>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</si>
  <si>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</si>
  <si>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</si>
  <si>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</si>
  <si>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</si>
  <si>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</si>
  <si>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</si>
  <si>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</si>
  <si>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</si>
  <si>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</si>
  <si>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</si>
  <si>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</si>
  <si>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</si>
  <si>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</si>
  <si>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</si>
  <si>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</si>
  <si>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</si>
  <si>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</si>
  <si>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</si>
  <si>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</si>
  <si>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</si>
  <si>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</si>
  <si>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</si>
  <si>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</si>
  <si>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</si>
  <si>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</si>
  <si>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</si>
  <si>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</si>
  <si>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</si>
  <si>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</si>
  <si>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</si>
  <si>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</si>
  <si>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</si>
  <si>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</si>
  <si>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</si>
  <si>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</si>
  <si>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</si>
  <si>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</si>
  <si>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</si>
  <si>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</si>
  <si>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</si>
  <si>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</si>
  <si>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</si>
  <si>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</si>
  <si>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</si>
  <si>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</si>
  <si>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</si>
  <si>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</si>
  <si>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</si>
  <si>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</si>
  <si>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</si>
  <si>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</si>
  <si>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</si>
  <si>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</si>
  <si>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</si>
  <si>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</si>
  <si>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</si>
  <si>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</si>
  <si>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</si>
  <si>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</si>
  <si>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</si>
  <si>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</si>
  <si>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</si>
  <si>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</si>
  <si>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</si>
  <si>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</si>
  <si>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</si>
  <si>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</si>
  <si>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</si>
  <si>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</si>
  <si>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</si>
  <si>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</si>
  <si>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</si>
  <si>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</si>
  <si>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</si>
  <si>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</si>
  <si>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</si>
  <si>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</si>
  <si>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</si>
  <si>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</si>
  <si>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</si>
  <si>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</si>
  <si>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</si>
  <si>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</si>
  <si>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</si>
  <si>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</si>
  <si>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</si>
  <si>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</si>
  <si>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</si>
  <si>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</si>
  <si>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</si>
  <si>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</si>
  <si>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</si>
  <si>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</si>
  <si>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</si>
  <si>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</si>
  <si>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</si>
  <si>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</si>
  <si>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</si>
  <si>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</si>
  <si>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</si>
  <si>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</si>
  <si>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</si>
  <si>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</si>
  <si>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</si>
  <si>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</si>
  <si>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</si>
  <si>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</si>
  <si>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</si>
  <si>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</si>
  <si>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</si>
  <si>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</si>
  <si>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</si>
  <si>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</si>
  <si>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</si>
  <si>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</si>
  <si>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</si>
  <si>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</si>
  <si>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</si>
  <si>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</si>
  <si>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</si>
  <si>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</si>
  <si>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</si>
  <si>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</si>
  <si>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</si>
  <si>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</si>
  <si>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</si>
  <si>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</si>
  <si>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</si>
  <si>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</si>
  <si>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</si>
  <si>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</si>
  <si>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</si>
  <si>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</si>
  <si>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</si>
  <si>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</si>
  <si>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</si>
  <si>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</si>
  <si>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</si>
  <si>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</si>
  <si>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</si>
  <si>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</si>
  <si>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</si>
  <si>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</si>
  <si>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</si>
  <si>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</si>
  <si>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</si>
  <si>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</si>
  <si>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</si>
  <si>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</si>
  <si>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</si>
  <si>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</si>
  <si>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</si>
  <si>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</si>
  <si>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</si>
  <si>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</si>
  <si>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</si>
  <si>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</si>
  <si>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</si>
  <si>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</si>
  <si>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</si>
  <si>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</si>
  <si>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</si>
  <si>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</si>
  <si>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</si>
  <si>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</si>
  <si>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</si>
  <si>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</si>
  <si>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</si>
  <si>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</si>
  <si>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</si>
  <si>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</si>
  <si>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</si>
  <si>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</si>
  <si>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</si>
  <si>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</si>
  <si>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</si>
  <si>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</si>
  <si>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</si>
  <si>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</si>
  <si>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</si>
  <si>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</si>
  <si>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</si>
  <si>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</si>
  <si>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</si>
  <si>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</si>
  <si>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</si>
  <si>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</si>
  <si>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</si>
  <si>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</si>
  <si>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</si>
  <si>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</si>
  <si>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</si>
  <si>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</si>
  <si>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</si>
  <si>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</si>
  <si>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</si>
  <si>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</si>
  <si>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</si>
  <si>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</si>
  <si>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</si>
  <si>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</si>
  <si>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</si>
  <si>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</si>
  <si>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</si>
  <si>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</si>
  <si>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</si>
  <si>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</si>
  <si>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</si>
  <si>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</si>
  <si>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</si>
  <si>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</si>
  <si>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</si>
  <si>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</si>
  <si>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</si>
  <si>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</si>
  <si>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</si>
  <si>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</si>
  <si>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</si>
  <si>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</si>
  <si>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</si>
  <si>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</si>
  <si>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</si>
  <si>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</si>
  <si>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</si>
  <si>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</si>
  <si>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</si>
  <si>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</si>
  <si>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</si>
  <si>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</si>
  <si>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</si>
  <si>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</si>
  <si>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</si>
  <si>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</si>
  <si>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</si>
  <si>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</si>
  <si>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</si>
  <si>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</si>
  <si>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</si>
  <si>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</si>
  <si>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</si>
  <si>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</si>
  <si>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</si>
  <si>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</si>
  <si>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</si>
  <si>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</si>
  <si>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</si>
  <si>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</si>
  <si>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</si>
  <si>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</si>
  <si>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</si>
  <si>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</si>
  <si>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</si>
  <si>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</si>
  <si>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</si>
  <si>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</si>
  <si>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</si>
  <si>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</si>
  <si>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</si>
  <si>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</si>
  <si>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</si>
  <si>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</si>
  <si>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</si>
  <si>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</si>
  <si>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</si>
  <si>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</si>
  <si>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</si>
  <si>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</si>
  <si>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</si>
  <si>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</si>
  <si>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</si>
  <si>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</si>
  <si>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</si>
  <si>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</si>
  <si>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</si>
  <si>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</si>
  <si>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</si>
  <si>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</si>
  <si>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</si>
  <si>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</si>
  <si>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</si>
  <si>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</si>
  <si>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</si>
  <si>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</si>
  <si>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</si>
  <si>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</si>
  <si>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</si>
  <si>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</si>
  <si>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</si>
  <si>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</si>
  <si>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</si>
  <si>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</si>
  <si>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</si>
  <si>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</si>
  <si>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</si>
  <si>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</si>
  <si>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</si>
  <si>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</si>
  <si>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</si>
  <si>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</si>
  <si>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</si>
  <si>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</si>
  <si>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</si>
  <si>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</si>
  <si>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</si>
  <si>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</si>
  <si>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</si>
  <si>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</si>
  <si>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</si>
  <si>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</si>
  <si>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</si>
  <si>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</si>
  <si>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</si>
  <si>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</si>
  <si>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</si>
  <si>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</si>
  <si>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</si>
  <si>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</si>
  <si>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</si>
  <si>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</si>
  <si>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</si>
  <si>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</si>
  <si>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</si>
  <si>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</si>
  <si>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</si>
  <si>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</si>
  <si>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</si>
  <si>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</si>
  <si>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</si>
  <si>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</si>
  <si>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</si>
  <si>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</si>
  <si>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</si>
  <si>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</si>
  <si>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</si>
  <si>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</si>
  <si>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</si>
  <si>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</si>
  <si>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</si>
  <si>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</si>
  <si>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</si>
  <si>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</si>
  <si>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</si>
  <si>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</si>
  <si>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</si>
  <si>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</si>
  <si>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</si>
  <si>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</si>
  <si>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</si>
  <si>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</si>
  <si>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</si>
  <si>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</si>
  <si>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</si>
  <si>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</si>
  <si>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</si>
  <si>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</si>
  <si>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</si>
  <si>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</si>
  <si>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</si>
  <si>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</si>
  <si>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</si>
  <si>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</si>
  <si>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</si>
  <si>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</si>
  <si>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</si>
  <si>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</si>
  <si>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</si>
  <si>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</si>
  <si>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</si>
  <si>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</si>
  <si>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</si>
  <si>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</si>
  <si>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</si>
  <si>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</si>
  <si>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</si>
  <si>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</si>
  <si>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</si>
  <si>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</si>
  <si>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</si>
  <si>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</si>
  <si>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</si>
  <si>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</si>
  <si>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</si>
  <si>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</si>
  <si>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</si>
  <si>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</si>
  <si>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</si>
  <si>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</si>
  <si>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</si>
  <si>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</si>
  <si>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</si>
  <si>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</si>
  <si>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</si>
  <si>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</si>
  <si>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</si>
  <si>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</si>
  <si>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</si>
  <si>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</si>
  <si>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</si>
  <si>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</si>
  <si>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</si>
  <si>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</si>
  <si>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</si>
  <si>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</si>
  <si>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</si>
  <si>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</si>
  <si>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</si>
  <si>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</si>
  <si>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</si>
  <si>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</si>
  <si>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</si>
  <si>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</si>
  <si>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</si>
  <si>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</si>
  <si>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</si>
  <si>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</si>
  <si>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</si>
  <si>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</si>
  <si>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</si>
  <si>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</si>
  <si>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</si>
  <si>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</si>
  <si>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</si>
  <si>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</si>
  <si>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</si>
  <si>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</si>
  <si>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</si>
  <si>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</si>
  <si>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</si>
  <si>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</si>
  <si>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</si>
  <si>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</si>
  <si>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</si>
  <si>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</si>
  <si>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</si>
  <si>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</si>
  <si>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</si>
  <si>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</si>
  <si>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</si>
  <si>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</si>
  <si>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</si>
  <si>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</si>
  <si>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</si>
  <si>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</si>
  <si>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</si>
  <si>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</si>
  <si>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</si>
  <si>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</si>
  <si>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</si>
  <si>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</si>
  <si>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</si>
  <si>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</si>
  <si>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</si>
  <si>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</si>
  <si>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</si>
  <si>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</si>
  <si>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</si>
  <si>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</si>
  <si>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</si>
  <si>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</si>
  <si>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</si>
  <si>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</si>
  <si>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</si>
  <si>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</si>
  <si>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</si>
  <si>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</si>
  <si>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</si>
  <si>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</si>
  <si>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</si>
  <si>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</si>
  <si>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</si>
  <si>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</si>
  <si>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</si>
  <si>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</si>
  <si>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</si>
  <si>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</si>
  <si>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</si>
  <si>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</si>
  <si>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</si>
  <si>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</si>
  <si>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</si>
  <si>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</si>
  <si>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</si>
  <si>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</si>
  <si>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</si>
  <si>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</si>
  <si>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</si>
  <si>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</si>
  <si>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</si>
  <si>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</si>
  <si>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</si>
  <si>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</si>
  <si>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</si>
  <si>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</si>
  <si>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</si>
  <si>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</si>
  <si>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</si>
  <si>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</si>
  <si>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</si>
  <si>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</si>
  <si>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</si>
  <si>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</si>
  <si>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</si>
  <si>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</si>
  <si>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</si>
  <si>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</si>
  <si>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</si>
  <si>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</si>
  <si>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</si>
  <si>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</si>
  <si>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</si>
  <si>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</si>
  <si>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</si>
  <si>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</si>
  <si>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</si>
  <si>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</si>
  <si>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</si>
  <si>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</si>
  <si>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</si>
  <si>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</si>
  <si>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</si>
  <si>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</si>
  <si>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</si>
  <si>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</si>
  <si>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</si>
  <si>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</si>
  <si>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</si>
  <si>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</si>
  <si>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</si>
  <si>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</si>
  <si>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</si>
  <si>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</si>
  <si>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</si>
  <si>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</si>
  <si>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</si>
  <si>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</si>
  <si>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</si>
  <si>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</si>
  <si>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</si>
  <si>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</si>
  <si>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</si>
  <si>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</si>
  <si>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</si>
  <si>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</si>
  <si>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</si>
  <si>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</si>
  <si>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</si>
  <si>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</si>
  <si>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</si>
  <si>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</si>
  <si>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</si>
  <si>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</si>
  <si>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</si>
  <si>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</si>
  <si>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</si>
  <si>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</si>
  <si>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</si>
  <si>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</si>
  <si>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</si>
  <si>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</si>
  <si>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</si>
  <si>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</si>
  <si>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</si>
  <si>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</si>
  <si>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</si>
  <si>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</si>
  <si>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</si>
  <si>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</si>
  <si>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</si>
  <si>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</si>
  <si>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</si>
  <si>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</si>
  <si>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</si>
  <si>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</si>
  <si>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</si>
  <si>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</si>
  <si>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</si>
  <si>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</si>
  <si>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</si>
  <si>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</si>
  <si>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</si>
  <si>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</si>
  <si>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</si>
  <si>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</si>
  <si>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</si>
  <si>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</si>
  <si>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</si>
  <si>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</si>
  <si>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</si>
  <si>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</si>
  <si>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</si>
  <si>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</si>
  <si>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</si>
  <si>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</si>
  <si>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</si>
  <si>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</si>
  <si>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</si>
  <si>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</si>
  <si>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</si>
  <si>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</si>
  <si>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</si>
  <si>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</si>
  <si>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</si>
  <si>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</si>
  <si>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</si>
  <si>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</si>
  <si>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</si>
  <si>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</si>
  <si>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</si>
  <si>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</si>
  <si>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</si>
  <si>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</si>
  <si>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</si>
  <si>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</si>
  <si>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</si>
  <si>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</si>
  <si>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</si>
  <si>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</si>
  <si>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</si>
  <si>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</si>
  <si>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</si>
  <si>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</si>
  <si>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</si>
  <si>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</si>
  <si>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</si>
  <si>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</si>
  <si>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</si>
  <si>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</si>
  <si>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</si>
  <si>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</si>
  <si>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</si>
  <si>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</si>
  <si>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</si>
  <si>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</si>
  <si>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</si>
  <si>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</si>
  <si>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</si>
  <si>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</si>
  <si>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</si>
  <si>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</si>
  <si>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</si>
  <si>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</si>
  <si>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</si>
  <si>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</si>
  <si>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</si>
  <si>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</si>
  <si>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</si>
  <si>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</si>
  <si>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</si>
  <si>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</si>
  <si>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</si>
  <si>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</si>
  <si>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</si>
  <si>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</si>
  <si>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</si>
  <si>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</si>
  <si>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</si>
  <si>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</si>
  <si>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</si>
  <si>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</si>
  <si>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</si>
  <si>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</si>
  <si>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</si>
  <si>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</si>
  <si>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</si>
  <si>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</si>
  <si>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</si>
  <si>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</si>
  <si>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</si>
  <si>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</si>
  <si>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</si>
  <si>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</si>
  <si>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</si>
  <si>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</si>
  <si>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</si>
  <si>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</si>
  <si>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</si>
  <si>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</si>
  <si>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</si>
  <si>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</si>
  <si>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</si>
  <si>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</si>
  <si>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</si>
  <si>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</si>
  <si>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</si>
  <si>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</si>
  <si>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</si>
  <si>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</si>
  <si>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</si>
  <si>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</si>
  <si>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</si>
  <si>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</si>
  <si>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</si>
  <si>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</si>
  <si>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</si>
  <si>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</si>
  <si>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</si>
  <si>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</si>
  <si>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</si>
  <si>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</si>
  <si>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</si>
  <si>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</si>
  <si>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</si>
  <si>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</si>
  <si>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</si>
  <si>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</si>
  <si>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</si>
  <si>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</si>
  <si>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</si>
  <si>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</si>
  <si>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</si>
  <si>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</si>
  <si>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</si>
  <si>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</si>
  <si>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</si>
  <si>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</si>
  <si>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</si>
  <si>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</si>
  <si>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</si>
  <si>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</si>
  <si>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</si>
  <si>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</si>
  <si>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</si>
  <si>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</si>
  <si>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</si>
  <si>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</si>
  <si>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</si>
  <si>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</si>
  <si>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</si>
  <si>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</si>
  <si>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</si>
  <si>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</si>
  <si>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</si>
  <si>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</si>
  <si>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</si>
  <si>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</si>
  <si>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</si>
  <si>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</si>
  <si>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</si>
  <si>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</si>
  <si>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</si>
  <si>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</si>
  <si>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</si>
  <si>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</si>
  <si>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</si>
  <si>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</si>
  <si>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</si>
  <si>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</si>
  <si>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</si>
  <si>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</si>
  <si>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</si>
  <si>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</si>
  <si>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</si>
  <si>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</si>
  <si>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</si>
  <si>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</si>
  <si>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</si>
  <si>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</si>
  <si>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</si>
  <si>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</si>
  <si>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</si>
  <si>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</si>
  <si>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</si>
  <si>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</si>
  <si>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</si>
  <si>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</si>
  <si>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</si>
  <si>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</si>
  <si>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</si>
  <si>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</si>
  <si>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</si>
  <si>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</si>
  <si>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</si>
  <si>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</si>
  <si>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</si>
  <si>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</si>
  <si>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</si>
  <si>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</si>
  <si>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</si>
  <si>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</si>
  <si>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</si>
  <si>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</si>
  <si>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</si>
  <si>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</si>
  <si>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</si>
  <si>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</si>
  <si>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</si>
  <si>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</si>
  <si>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</si>
  <si>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</si>
  <si>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</si>
  <si>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</si>
  <si>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</si>
  <si>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</si>
  <si>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</si>
  <si>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</si>
  <si>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</si>
  <si>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</si>
  <si>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</si>
  <si>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</si>
  <si>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</si>
  <si>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</si>
  <si>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</si>
  <si>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</si>
  <si>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</si>
  <si>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</si>
  <si>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</si>
  <si>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</si>
  <si>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</si>
  <si>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</si>
  <si>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</si>
  <si>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</si>
  <si>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</si>
  <si>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</si>
  <si>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</si>
  <si>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</si>
  <si>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</si>
  <si>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</si>
  <si>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</si>
  <si>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</si>
  <si>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</si>
  <si>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</si>
  <si>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</si>
  <si>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</si>
  <si>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</si>
  <si>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</si>
  <si>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</si>
  <si>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</si>
  <si>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</si>
  <si>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</si>
  <si>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</si>
  <si>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</si>
  <si>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</si>
  <si>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</si>
  <si>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</si>
  <si>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</si>
  <si>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</si>
  <si>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</si>
  <si>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</si>
  <si>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</si>
  <si>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</si>
  <si>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</si>
  <si>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</si>
  <si>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</si>
  <si>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</si>
  <si>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</si>
  <si>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</si>
  <si>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</si>
  <si>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</si>
  <si>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</si>
  <si>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</si>
  <si>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</si>
  <si>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</si>
  <si>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</si>
  <si>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</si>
  <si>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</si>
  <si>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</si>
  <si>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</si>
  <si>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</si>
  <si>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</si>
  <si>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</si>
  <si>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</si>
  <si>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</si>
  <si>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</si>
  <si>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</si>
  <si>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市场价格</t>
  </si>
  <si>
    <t>企业</t>
  </si>
  <si>
    <t>一致</t>
  </si>
  <si>
    <t>符合</t>
  </si>
  <si>
    <t>合计</t>
  </si>
  <si>
    <t>规划稳定</t>
  </si>
  <si>
    <t>部分完成</t>
  </si>
  <si>
    <t>不涉及</t>
  </si>
  <si>
    <t>天竺22号地收购项目</t>
  </si>
  <si>
    <t>23街区规划不稳定</t>
  </si>
  <si>
    <t>已完成</t>
  </si>
  <si>
    <t>空港工业B区六、七期土地一级开发项目</t>
  </si>
  <si>
    <t>规划不稳定</t>
  </si>
  <si>
    <t>北京市板桥创意天承产业基地二期E地块土地一级开发项目</t>
  </si>
  <si>
    <t>未启动</t>
  </si>
  <si>
    <t>顺义区天竺镇楼台村土地一级开发项目</t>
  </si>
  <si>
    <t>正在报审街区控规</t>
  </si>
  <si>
    <t>顺义区M15号线河东站土地一级开发项目二期</t>
  </si>
  <si>
    <t>13街区规划不稳定</t>
  </si>
  <si>
    <t>顺义新城13街区1105、1106、1108地块土地一级开发项目（顺义新城5号地）</t>
  </si>
  <si>
    <t>顺义区福环庄园二期住宅小区土地一级开发项目</t>
  </si>
  <si>
    <t>顺义新城风情小镇土地一级开发项目(12号地)</t>
  </si>
  <si>
    <t>顺义新城特色居住区(11号地)土地一级开发项目</t>
  </si>
  <si>
    <t>马头庄精品住宅用地土地一级开发项目</t>
  </si>
  <si>
    <t>顺义新城商务配套区(4号地)土地一级开发项目（商业金融部分）</t>
  </si>
  <si>
    <t>顺义区薛大人庄村剩余1，2号地块土地一级开发项目</t>
  </si>
  <si>
    <t>拆迁扫尾</t>
  </si>
  <si>
    <t>顺义区国展预留剩余地块土地一级开发项目</t>
  </si>
  <si>
    <t>26街区控规不稳定</t>
  </si>
  <si>
    <t>顺义区天竺镇岗山村土地一级开发项目（免税城）</t>
  </si>
  <si>
    <t>2601街区控规已审批</t>
  </si>
  <si>
    <t>顺义区天竺村（挂账村）土地一级开发项目</t>
  </si>
  <si>
    <t>29街区规划不稳定</t>
  </si>
  <si>
    <t>顺义区国门商务区中心区土地一级开发项目</t>
  </si>
  <si>
    <t>顺义区M15号线顺西路-府前街站土地一级开发项目B地块</t>
  </si>
  <si>
    <t>顺义区M15号线顺西路-府前街站土地一级开发项目A地块</t>
  </si>
  <si>
    <t>顺义区辰威花园土地一级开发项目</t>
  </si>
  <si>
    <t>镇域国空规划不稳定</t>
  </si>
  <si>
    <t>顺义区国际鲜花港土地一级开发项目</t>
  </si>
  <si>
    <t>顺义区高丽营镇白马路南侧旅游用地土地一级开发项目</t>
  </si>
  <si>
    <t>26街区规划不稳定</t>
  </si>
  <si>
    <t>顺义新城26街区第33、34地块土地一级开发项目</t>
  </si>
  <si>
    <t>顺义区M15号线新国展北站土地一级开发项目C地块</t>
  </si>
  <si>
    <t>顺义区M15号线新国展北站土地一级开发项目B地块</t>
  </si>
  <si>
    <t>顺义区M15号线新国展北站土地一级开发项目A地块</t>
  </si>
  <si>
    <t>顺义区M15号线南法信站H地块土地一级开发项目</t>
  </si>
  <si>
    <t>顺义区M15号线南法信站G地块土地一级开发项目</t>
  </si>
  <si>
    <t>顺义区M15号线南法信站F地块土地一级开发项目</t>
  </si>
  <si>
    <t>顺义区M15号线南法信站E地块土地一级开发项目</t>
  </si>
  <si>
    <t>顺义区M15号线南法信站D地块土地一级开发项目</t>
  </si>
  <si>
    <t>顺义区M15号线南法信站C地块土地一级开发项目</t>
  </si>
  <si>
    <t>顺义区M15号线南法信站B地块土地一级开发项目</t>
  </si>
  <si>
    <t>顺义区M15号线南法信站A地块土地一级开发项目</t>
  </si>
  <si>
    <t>正在报审20街区控规</t>
  </si>
  <si>
    <t>顺义区M15号线后沙峪站土地一级开发项目B地块</t>
  </si>
  <si>
    <t>顺义区后沙峪镇马头庄村土地一级开发项目A地块</t>
  </si>
  <si>
    <t>顺义区平各庄村土地一级开发项目B地块</t>
  </si>
  <si>
    <t>2027年</t>
  </si>
  <si>
    <t>高丽营镇住宅小区三期</t>
  </si>
  <si>
    <t>8街区规划不稳定</t>
  </si>
  <si>
    <t>21街区规划不稳定</t>
  </si>
  <si>
    <t>13街区控规不稳定</t>
  </si>
  <si>
    <t>2026年</t>
  </si>
  <si>
    <t>2街区规划不稳定</t>
  </si>
  <si>
    <t>顺义区东风商场片区改造项目</t>
  </si>
  <si>
    <t>7街区规划不稳定</t>
  </si>
  <si>
    <t>1街区规划不稳定</t>
  </si>
  <si>
    <t>未完成</t>
  </si>
  <si>
    <t>顺义区M15号线顺西路-府前街站土地一级开发项目D地块</t>
  </si>
  <si>
    <t>正在报审31街区控规</t>
  </si>
  <si>
    <t>2025年</t>
  </si>
  <si>
    <t>顺义区温哥华绿景花园一期土地一级开发项目</t>
  </si>
  <si>
    <t>正在报审18街区控规</t>
  </si>
  <si>
    <t>顺义区后沙峪镇后沙峪村土地一级开发项目A地块</t>
  </si>
  <si>
    <t>2024年</t>
  </si>
  <si>
    <t>顺义区M15号线顺西路-府前街站土地一级开发项目F地块</t>
  </si>
  <si>
    <t>顺义区M15号线顺西路-府前街站土地一级开发项目E地块</t>
  </si>
  <si>
    <t>修正后</t>
  </si>
  <si>
    <t>不修正</t>
  </si>
  <si>
    <t>拆迁</t>
  </si>
  <si>
    <t>征地</t>
  </si>
  <si>
    <t>商业及多功能</t>
  </si>
  <si>
    <t>商品住宅</t>
  </si>
  <si>
    <t>预计政府收益</t>
  </si>
  <si>
    <t>预计成交价</t>
  </si>
  <si>
    <t>项目状态</t>
  </si>
  <si>
    <t>代征用地</t>
  </si>
  <si>
    <t>建设用地面积</t>
  </si>
  <si>
    <t>在施总用地面积</t>
  </si>
  <si>
    <t>计划供应时间</t>
  </si>
  <si>
    <t>项目名称</t>
  </si>
  <si>
    <t>总用地面积</t>
  </si>
  <si>
    <t>计划新增方式</t>
  </si>
  <si>
    <t>顺义区R4号线临河站土地一级开发项目</t>
  </si>
  <si>
    <t>土地一级开发</t>
  </si>
  <si>
    <t>后沙峪镇裕顺通居住用地收储项目</t>
  </si>
  <si>
    <t>收购储备</t>
  </si>
  <si>
    <t>顺义区M15号线河东站土地一级开发项目一期</t>
    <phoneticPr fontId="224" type="noConversion"/>
  </si>
  <si>
    <t>顺义区空港城西段B7地块土地一级开发项目（古城村）</t>
    <phoneticPr fontId="224" type="noConversion"/>
  </si>
  <si>
    <t>顺义区温哥华绿景花园二期土地一级开发项目</t>
    <phoneticPr fontId="224" type="noConversion"/>
  </si>
  <si>
    <t>顺义区胡各庄居住区双限房土地一级开发项目</t>
    <phoneticPr fontId="224" type="noConversion"/>
  </si>
  <si>
    <t>顺义区平各庄地区土地一级开发(旧村改造)一期项目</t>
    <phoneticPr fontId="224" type="noConversion"/>
  </si>
  <si>
    <t xml:space="preserve">顺义新城城市公共服务区（10号地）土地一级开发项目  </t>
    <phoneticPr fontId="224" type="noConversion"/>
  </si>
  <si>
    <t>顺义区高丽营镇02-08地块</t>
    <phoneticPr fontId="224" type="noConversion"/>
  </si>
  <si>
    <t>顺义区板桥村剩余用地土地一级开发项目D地块</t>
    <phoneticPr fontId="224" type="noConversion"/>
  </si>
  <si>
    <t>北京林河经济开发区六期土地一级开发项目（临河村及部分陶家坟村地块）</t>
    <phoneticPr fontId="224" type="noConversion"/>
  </si>
  <si>
    <t>顺义新城中央公园区土地一级开发项目（新城3号地）</t>
    <phoneticPr fontId="224" type="noConversion"/>
  </si>
  <si>
    <t>北美乡间住宅区</t>
    <phoneticPr fontId="224" type="noConversion"/>
  </si>
  <si>
    <t>顺义区仁和镇河南村土地一级开发项目</t>
    <phoneticPr fontId="224"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</si>
  <si>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</si>
  <si>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</si>
  <si>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</si>
  <si>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</si>
  <si>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t>顺义区M15号线后沙峪站土地一级开发项目C地块</t>
    <phoneticPr fontId="224" type="noConversion"/>
  </si>
  <si>
    <t>地上</t>
  </si>
  <si>
    <t>是</t>
  </si>
  <si>
    <t>住宅</t>
    <phoneticPr fontId="7" type="noConversion"/>
  </si>
  <si>
    <t>商业</t>
    <phoneticPr fontId="7" type="noConversion"/>
  </si>
  <si>
    <t>利息：取LPR加浮动点数</t>
  </si>
  <si>
    <t>项目局部</t>
  </si>
  <si>
    <t>土地</t>
  </si>
  <si>
    <t>已部分缴纳</t>
  </si>
  <si>
    <t>估价对象容积率</t>
  </si>
  <si>
    <t>不临65条商业街</t>
  </si>
  <si>
    <t>城镇住宅用地</t>
  </si>
  <si>
    <t>无</t>
  </si>
  <si>
    <t>1000米以外</t>
  </si>
  <si>
    <t>中心城区</t>
  </si>
  <si>
    <t>较好</t>
  </si>
  <si>
    <t>基准地价-商业</t>
  </si>
  <si>
    <t>剩余法-商业</t>
  </si>
  <si>
    <t>一般</t>
    <phoneticPr fontId="224"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</si>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</sst>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微软雅黑"/>
      <family val="2"/>
      <charset val="134"/>
    </font>
    <font>
      <sz val="11"/>
      <color theme="1"/>
      <name val="Arial"/>
      <family val="3"/>
      <charset val="134"/>
    </font>
    <font>
      <sz val="11"/>
      <color rgb="FFFF0000"/>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1" fillId="5" borderId="2" xfId="0" applyFont="1" applyFill="1" applyBorder="1" applyAlignment="1" applyProtection="1">
      <alignment horizontal="center"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41" fillId="0" borderId="0" xfId="4"/>
    <xf numFmtId="0" fontId="141" fillId="0" borderId="0" xfId="4" applyAlignment="1">
      <alignment wrapText="1"/>
    </xf>
    <xf numFmtId="196" fontId="299" fillId="9" borderId="2" xfId="4" applyNumberFormat="1" applyFont="1" applyFill="1" applyBorder="1" applyAlignment="1">
      <alignment horizontal="center" vertical="center"/>
    </xf>
    <xf numFmtId="0" fontId="299" fillId="9" borderId="2" xfId="4" applyFont="1" applyFill="1" applyBorder="1" applyAlignment="1">
      <alignment horizontal="center" vertical="center"/>
    </xf>
    <xf numFmtId="0" fontId="299" fillId="9" borderId="2" xfId="4" applyFont="1" applyFill="1" applyBorder="1" applyAlignment="1">
      <alignment horizontal="center" vertical="center" wrapText="1"/>
    </xf>
    <xf numFmtId="0" fontId="141" fillId="9" borderId="2" xfId="4" applyFill="1" applyBorder="1"/>
    <xf numFmtId="0" fontId="299" fillId="0" borderId="2" xfId="4" applyFont="1" applyBorder="1" applyAlignment="1">
      <alignment horizontal="center" vertical="center"/>
    </xf>
    <xf numFmtId="0" fontId="299" fillId="0" borderId="2" xfId="4" applyFont="1" applyBorder="1" applyAlignment="1">
      <alignment horizontal="center" vertical="center" wrapText="1"/>
    </xf>
    <xf numFmtId="0" fontId="142" fillId="24" borderId="2" xfId="4" applyFont="1" applyFill="1" applyBorder="1"/>
    <xf numFmtId="0" fontId="142" fillId="24" borderId="9" xfId="4" applyFont="1" applyFill="1" applyBorder="1"/>
    <xf numFmtId="2" fontId="299" fillId="0" borderId="2" xfId="4" applyNumberFormat="1" applyFont="1" applyBorder="1" applyAlignment="1">
      <alignment horizontal="center" vertical="center"/>
    </xf>
    <xf numFmtId="2" fontId="299" fillId="9" borderId="2" xfId="4" applyNumberFormat="1" applyFont="1" applyFill="1" applyBorder="1" applyAlignment="1">
      <alignment horizontal="center" vertical="center" wrapText="1"/>
    </xf>
    <xf numFmtId="0" fontId="299" fillId="9" borderId="2" xfId="4" applyFont="1" applyFill="1" applyBorder="1"/>
    <xf numFmtId="0" fontId="300" fillId="0" borderId="2" xfId="0" applyFont="1" applyBorder="1" applyAlignment="1" applyProtection="1">
      <alignment horizontal="center" vertical="center"/>
      <protection locked="0"/>
    </xf>
    <xf numFmtId="0" fontId="301" fillId="0" borderId="2" xfId="4" applyFont="1" applyBorder="1" applyAlignment="1">
      <alignment horizontal="center" vertical="center" wrapText="1"/>
    </xf>
    <xf numFmtId="0" fontId="301" fillId="0" borderId="2" xfId="4" applyFont="1" applyBorder="1" applyAlignment="1">
      <alignment horizontal="center" vertical="center"/>
    </xf>
    <xf numFmtId="182" fontId="148" fillId="0" borderId="2" xfId="0" applyNumberFormat="1"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99" fillId="9" borderId="2" xfId="4" applyFont="1" applyFill="1" applyBorder="1" applyAlignment="1">
      <alignment horizontal="center" vertical="center"/>
    </xf>
    <xf numFmtId="0" fontId="142" fillId="24" borderId="9" xfId="4" applyFont="1" applyFill="1" applyBorder="1" applyAlignment="1">
      <alignment horizontal="center"/>
    </xf>
    <xf numFmtId="0" fontId="142" fillId="24" borderId="2" xfId="4" applyFont="1" applyFill="1" applyBorder="1" applyAlignment="1">
      <alignment horizontal="center"/>
    </xf>
    <xf numFmtId="0" fontId="299" fillId="9" borderId="2" xfId="4" applyFont="1" applyFill="1" applyBorder="1" applyAlignment="1">
      <alignment horizontal="center" vertical="center" wrapText="1"/>
    </xf>
    <xf numFmtId="0" fontId="299" fillId="9" borderId="5" xfId="4" applyFont="1" applyFill="1" applyBorder="1" applyAlignment="1">
      <alignment horizontal="center" vertical="center"/>
    </xf>
    <xf numFmtId="0" fontId="299" fillId="9" borderId="8" xfId="4" applyFont="1" applyFill="1" applyBorder="1" applyAlignment="1">
      <alignment horizontal="center" vertical="center"/>
    </xf>
    <xf numFmtId="0" fontId="299" fillId="9" borderId="9" xfId="4" applyFont="1" applyFill="1" applyBorder="1" applyAlignment="1">
      <alignment horizontal="center" vertical="center"/>
    </xf>
    <xf numFmtId="0" fontId="299" fillId="9" borderId="10" xfId="4" applyFont="1" applyFill="1" applyBorder="1" applyAlignment="1">
      <alignment horizontal="center" vertical="center"/>
    </xf>
    <xf numFmtId="0" fontId="299" fillId="9" borderId="21" xfId="4" applyFont="1" applyFill="1" applyBorder="1" applyAlignment="1">
      <alignment horizontal="center"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185600平方米。根据《建设工程规划许可证》[]、《出让合同》[]，估价对象规划建筑面积为371200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2023年3月9日（评估专业人员勘察现场之日）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根据《国有土地使用证》[]，估价对象（分摊）出让国有建设用地使用权面积为185600平方米。根据《建设工程规划许可证》[]、《出让合同》[]，估价对象规划建筑面积为371200平方米。</v>
      </c>
    </row>
    <row r="16" spans="1:55" s="2356" customFormat="1">
      <c r="A16" s="2357" t="s">
        <v>1951</v>
      </c>
      <c r="B16" s="2358" t="str">
        <f>'预评函-1'!A22</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估价期日：2023年3月9日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185600</v>
      </c>
    </row>
    <row r="44" spans="1:2">
      <c r="A44" s="2357" t="s">
        <v>2022</v>
      </c>
      <c r="B44" s="2358" t="str">
        <f>'预评函-2'!O3</f>
        <v>规划建筑面积/㎡</v>
      </c>
    </row>
    <row r="45" spans="1:2">
      <c r="A45" s="2357" t="s">
        <v>2004</v>
      </c>
      <c r="B45" s="2358">
        <f>'预评函-2'!O5</f>
        <v>371200</v>
      </c>
    </row>
    <row r="46" spans="1:2">
      <c r="A46" s="2357" t="s">
        <v>2005</v>
      </c>
      <c r="B46" s="2358">
        <f ca="1">'预评函-2'!P5</f>
        <v>16505</v>
      </c>
    </row>
    <row r="47" spans="1:2">
      <c r="A47" s="2357" t="s">
        <v>2006</v>
      </c>
      <c r="B47" s="2358">
        <f ca="1">'预评函-2'!Q5</f>
        <v>8253</v>
      </c>
    </row>
    <row r="48" spans="1:2">
      <c r="A48" s="2357" t="s">
        <v>2007</v>
      </c>
      <c r="B48" s="2358">
        <f ca="1">'预评函-2'!R5</f>
        <v>306340</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44994</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-123.27</v>
      </c>
      <c r="D5" s="3295">
        <f>IF(ISERROR(ROUND(POWER(1+E5,A5-C5)*(POWER(1+E5,C5)-1)/(POWER(1+E5,A5)-1),3)),0,ROUND(POWER(1+E5,A5-C5)*(POWER(1+E5,C5)-1)/(POWER(1+E5,A5)-1),4))</f>
        <v>0</v>
      </c>
      <c r="E5" s="3296"/>
      <c r="F5" s="3289"/>
    </row>
    <row r="6" spans="1:6">
      <c r="A6" s="3294"/>
      <c r="B6" s="3291"/>
      <c r="C6" s="3293">
        <f>ROUNDDOWN(MIN((B6-B3)/365,A6),2)</f>
        <v>-123.27</v>
      </c>
      <c r="D6" s="3295">
        <f>IF(ISERROR(ROUND(POWER(1+E6,A6-C6)*(POWER(1+E6,C6)-1)/(POWER(1+E6,A6)-1),3)),0,ROUND(POWER(1+E6,A6-C6)*(POWER(1+E6,C6)-1)/(POWER(1+E6,A6)-1),4))</f>
        <v>0</v>
      </c>
      <c r="E6" s="3296"/>
      <c r="F6" s="3289"/>
    </row>
    <row r="7" spans="1:6">
      <c r="A7" s="3294"/>
      <c r="B7" s="3291"/>
      <c r="C7" s="3293">
        <f>ROUNDDOWN(MIN((B7-B3)/365,A7),2)</f>
        <v>-123.27</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
  <sheetViews>
    <sheetView workbookViewId="0">
      <selection activeCell="G5" sqref="G5"/>
    </sheetView>
  </sheetViews>
  <sheetFormatPr defaultColWidth="9" defaultRowHeight="13.5"/>
  <cols>
    <col min="1" max="1" width="6.625" style="3669" customWidth="1"/>
    <col min="2" max="2" width="52.375" style="3669"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27.125" style="3669" customWidth="1"/>
    <col min="10" max="16384" width="9" style="3669"/>
  </cols>
  <sheetData>
    <row r="2" spans="1:13" ht="16.5">
      <c r="A2" s="3720" t="s">
        <v>1729</v>
      </c>
      <c r="B2" s="3720" t="s">
        <v>3349</v>
      </c>
      <c r="C2" s="3717" t="s">
        <v>3348</v>
      </c>
      <c r="D2" s="3717" t="s">
        <v>3350</v>
      </c>
      <c r="E2" s="3717" t="s">
        <v>3346</v>
      </c>
      <c r="F2" s="3717"/>
      <c r="G2" s="3717"/>
      <c r="H2" s="3717" t="s">
        <v>3345</v>
      </c>
      <c r="I2" s="3717" t="s">
        <v>3351</v>
      </c>
      <c r="J2" s="3718" t="s">
        <v>3343</v>
      </c>
      <c r="K2" s="3719"/>
      <c r="L2" s="3719" t="s">
        <v>3342</v>
      </c>
      <c r="M2" s="3719"/>
    </row>
    <row r="3" spans="1:13" ht="33">
      <c r="A3" s="3720"/>
      <c r="B3" s="3720"/>
      <c r="C3" s="3717"/>
      <c r="D3" s="3717"/>
      <c r="E3" s="3672" t="s">
        <v>16</v>
      </c>
      <c r="F3" s="3672" t="s">
        <v>3341</v>
      </c>
      <c r="G3" s="3673" t="s">
        <v>3340</v>
      </c>
      <c r="H3" s="3717"/>
      <c r="I3" s="3717"/>
      <c r="J3" s="3678" t="s">
        <v>3337</v>
      </c>
      <c r="K3" s="3677" t="s">
        <v>3336</v>
      </c>
      <c r="L3" s="3677" t="s">
        <v>3337</v>
      </c>
      <c r="M3" s="3677" t="s">
        <v>3336</v>
      </c>
    </row>
    <row r="4" spans="1:13" ht="27" customHeight="1">
      <c r="A4" s="3676">
        <v>1</v>
      </c>
      <c r="B4" s="3676" t="s">
        <v>3352</v>
      </c>
      <c r="C4" s="3675" t="s">
        <v>3316</v>
      </c>
      <c r="D4" s="3675">
        <v>106.26</v>
      </c>
      <c r="E4" s="3675">
        <v>62.21</v>
      </c>
      <c r="F4" s="3675">
        <v>34.299999999999997</v>
      </c>
      <c r="G4" s="3675">
        <v>18.29</v>
      </c>
      <c r="H4" s="3675">
        <f>D4-E4</f>
        <v>44.050000000000004</v>
      </c>
      <c r="I4" s="3676" t="s">
        <v>3353</v>
      </c>
    </row>
    <row r="5" spans="1:13" ht="21" customHeight="1">
      <c r="A5" s="3676">
        <v>2</v>
      </c>
      <c r="B5" s="3676" t="s">
        <v>3354</v>
      </c>
      <c r="C5" s="3675" t="s">
        <v>3316</v>
      </c>
      <c r="D5" s="3679">
        <v>36.622449000000003</v>
      </c>
      <c r="E5" s="3679">
        <v>36.622449000000003</v>
      </c>
      <c r="F5" s="3679">
        <v>36.622449000000003</v>
      </c>
      <c r="G5" s="3675">
        <v>0</v>
      </c>
      <c r="H5" s="3675">
        <v>0</v>
      </c>
      <c r="I5" s="3676" t="s">
        <v>3355</v>
      </c>
    </row>
    <row r="6" spans="1:13" ht="24" customHeight="1">
      <c r="A6" s="3717" t="s">
        <v>16</v>
      </c>
      <c r="B6" s="3717"/>
      <c r="C6" s="3717"/>
      <c r="D6" s="3717"/>
      <c r="E6" s="3717"/>
      <c r="F6" s="3680">
        <f>SUM(F4:F5)</f>
        <v>70.922449</v>
      </c>
      <c r="G6" s="3681"/>
      <c r="H6" s="3681"/>
      <c r="I6" s="3681"/>
    </row>
  </sheetData>
  <mergeCells count="10">
    <mergeCell ref="I2:I3"/>
    <mergeCell ref="J2:K2"/>
    <mergeCell ref="L2:M2"/>
    <mergeCell ref="A6:E6"/>
    <mergeCell ref="A2:A3"/>
    <mergeCell ref="B2:B3"/>
    <mergeCell ref="C2:C3"/>
    <mergeCell ref="D2:D3"/>
    <mergeCell ref="E2:G2"/>
    <mergeCell ref="H2:H3"/>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5"/>
  <sheetViews>
    <sheetView topLeftCell="A10" zoomScale="85" zoomScaleNormal="85" workbookViewId="0">
      <selection activeCell="E33" sqref="E33"/>
    </sheetView>
  </sheetViews>
  <sheetFormatPr defaultColWidth="9" defaultRowHeight="13.5"/>
  <cols>
    <col min="1" max="1" width="6.625" style="3669" customWidth="1"/>
    <col min="2" max="2" width="52.375" style="3670"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9.125" style="3669" customWidth="1"/>
    <col min="10" max="10" width="9" style="3669"/>
    <col min="11" max="11" width="24.5" style="3669" customWidth="1"/>
    <col min="12" max="12" width="9.75" style="3669" customWidth="1"/>
    <col min="13" max="13" width="9" style="3669"/>
    <col min="14" max="14" width="10" style="3669" customWidth="1"/>
    <col min="15" max="15" width="8.125" style="3669" customWidth="1"/>
    <col min="16" max="16384" width="9" style="3669"/>
  </cols>
  <sheetData>
    <row r="2" spans="1:15" ht="16.5">
      <c r="A2" s="3720" t="s">
        <v>1729</v>
      </c>
      <c r="B2" s="3720" t="s">
        <v>3349</v>
      </c>
      <c r="C2" s="3724" t="s">
        <v>3348</v>
      </c>
      <c r="D2" s="3717" t="s">
        <v>3347</v>
      </c>
      <c r="E2" s="3717" t="s">
        <v>3346</v>
      </c>
      <c r="F2" s="3717"/>
      <c r="G2" s="3717"/>
      <c r="H2" s="3717" t="s">
        <v>3345</v>
      </c>
      <c r="I2" s="3721" t="s">
        <v>3344</v>
      </c>
      <c r="J2" s="3722"/>
      <c r="K2" s="3723"/>
      <c r="L2" s="3718" t="s">
        <v>3343</v>
      </c>
      <c r="M2" s="3719"/>
      <c r="N2" s="3719" t="s">
        <v>3342</v>
      </c>
      <c r="O2" s="3719"/>
    </row>
    <row r="3" spans="1:15" ht="32.25" customHeight="1">
      <c r="A3" s="3720"/>
      <c r="B3" s="3720"/>
      <c r="C3" s="3725"/>
      <c r="D3" s="3717"/>
      <c r="E3" s="3672" t="s">
        <v>16</v>
      </c>
      <c r="F3" s="3672" t="s">
        <v>3341</v>
      </c>
      <c r="G3" s="3673" t="s">
        <v>3340</v>
      </c>
      <c r="H3" s="3717"/>
      <c r="I3" s="3672" t="s">
        <v>3339</v>
      </c>
      <c r="J3" s="3672" t="s">
        <v>3338</v>
      </c>
      <c r="K3" s="3672" t="s">
        <v>1555</v>
      </c>
      <c r="L3" s="3678" t="s">
        <v>3337</v>
      </c>
      <c r="M3" s="3677" t="s">
        <v>3336</v>
      </c>
      <c r="N3" s="3677" t="s">
        <v>3337</v>
      </c>
      <c r="O3" s="3677" t="s">
        <v>3336</v>
      </c>
    </row>
    <row r="4" spans="1:15" ht="22.5" customHeight="1">
      <c r="A4" s="3676">
        <v>1</v>
      </c>
      <c r="B4" s="3676" t="s">
        <v>3356</v>
      </c>
      <c r="C4" s="3675" t="s">
        <v>3333</v>
      </c>
      <c r="D4" s="3675">
        <v>41.16</v>
      </c>
      <c r="E4" s="3675">
        <v>22.74</v>
      </c>
      <c r="F4" s="3675">
        <v>22.74</v>
      </c>
      <c r="G4" s="3675">
        <v>0</v>
      </c>
      <c r="H4" s="3675">
        <v>18.420000000000002</v>
      </c>
      <c r="I4" s="3675" t="s">
        <v>3266</v>
      </c>
      <c r="J4" s="3675" t="s">
        <v>3326</v>
      </c>
      <c r="K4" s="3676" t="s">
        <v>3328</v>
      </c>
    </row>
    <row r="5" spans="1:15" ht="16.5">
      <c r="A5" s="3676">
        <v>2</v>
      </c>
      <c r="B5" s="3676" t="s">
        <v>3335</v>
      </c>
      <c r="C5" s="3675" t="s">
        <v>3333</v>
      </c>
      <c r="D5" s="3675">
        <v>16.54</v>
      </c>
      <c r="E5" s="3675">
        <v>12.3</v>
      </c>
      <c r="F5" s="3675">
        <v>2.84</v>
      </c>
      <c r="G5" s="3675">
        <v>9.4600000000000009</v>
      </c>
      <c r="H5" s="3675">
        <v>4.24</v>
      </c>
      <c r="I5" s="3675" t="s">
        <v>3269</v>
      </c>
      <c r="J5" s="3675" t="s">
        <v>3269</v>
      </c>
      <c r="K5" s="3675" t="s">
        <v>3264</v>
      </c>
    </row>
    <row r="6" spans="1:15" ht="16.5">
      <c r="A6" s="3676">
        <v>3</v>
      </c>
      <c r="B6" s="3676" t="s">
        <v>3334</v>
      </c>
      <c r="C6" s="3675" t="s">
        <v>3333</v>
      </c>
      <c r="D6" s="3675">
        <v>24.03</v>
      </c>
      <c r="E6" s="3675">
        <v>15.87</v>
      </c>
      <c r="F6" s="3675">
        <v>10.49</v>
      </c>
      <c r="G6" s="3675">
        <v>0</v>
      </c>
      <c r="H6" s="3675">
        <v>8.16</v>
      </c>
      <c r="I6" s="3675" t="s">
        <v>3269</v>
      </c>
      <c r="J6" s="3675" t="s">
        <v>3269</v>
      </c>
      <c r="K6" s="3675" t="s">
        <v>3264</v>
      </c>
    </row>
    <row r="7" spans="1:15" ht="16.5">
      <c r="A7" s="3676">
        <v>4</v>
      </c>
      <c r="B7" s="3676" t="s">
        <v>3359</v>
      </c>
      <c r="C7" s="3675" t="s">
        <v>3333</v>
      </c>
      <c r="D7" s="3675">
        <v>40.840000000000003</v>
      </c>
      <c r="E7" s="3675">
        <v>28.31</v>
      </c>
      <c r="F7" s="3675">
        <v>2.19</v>
      </c>
      <c r="G7" s="3675">
        <v>2.2999999999999998</v>
      </c>
      <c r="H7" s="3675">
        <v>12.53</v>
      </c>
      <c r="I7" s="3675" t="s">
        <v>3269</v>
      </c>
      <c r="J7" s="3675" t="s">
        <v>3269</v>
      </c>
      <c r="K7" s="3675" t="s">
        <v>3264</v>
      </c>
    </row>
    <row r="8" spans="1:15" ht="16.5">
      <c r="A8" s="3676">
        <v>5</v>
      </c>
      <c r="B8" s="3676" t="s">
        <v>3360</v>
      </c>
      <c r="C8" s="3675" t="s">
        <v>3333</v>
      </c>
      <c r="D8" s="3675">
        <v>34.39</v>
      </c>
      <c r="E8" s="3675">
        <v>21.19</v>
      </c>
      <c r="F8" s="3675">
        <v>16.579999999999998</v>
      </c>
      <c r="G8" s="3675">
        <v>2.15</v>
      </c>
      <c r="H8" s="3675">
        <v>13.2</v>
      </c>
      <c r="I8" s="3675" t="s">
        <v>3269</v>
      </c>
      <c r="J8" s="3675" t="s">
        <v>3269</v>
      </c>
      <c r="K8" s="3675" t="s">
        <v>3264</v>
      </c>
    </row>
    <row r="9" spans="1:15" ht="16.5">
      <c r="A9" s="3676">
        <v>6</v>
      </c>
      <c r="B9" s="3676" t="s">
        <v>3361</v>
      </c>
      <c r="C9" s="3675" t="s">
        <v>3333</v>
      </c>
      <c r="D9" s="3675">
        <v>15.96</v>
      </c>
      <c r="E9" s="3675">
        <v>10.28</v>
      </c>
      <c r="F9" s="3675">
        <v>6.1</v>
      </c>
      <c r="G9" s="3675">
        <v>1.24</v>
      </c>
      <c r="H9" s="3675">
        <v>5.68</v>
      </c>
      <c r="I9" s="3675" t="s">
        <v>3269</v>
      </c>
      <c r="J9" s="3675" t="s">
        <v>3269</v>
      </c>
      <c r="K9" s="3676" t="s">
        <v>3320</v>
      </c>
    </row>
    <row r="10" spans="1:15" ht="16.5">
      <c r="A10" s="3676">
        <v>7</v>
      </c>
      <c r="B10" s="3676" t="s">
        <v>3362</v>
      </c>
      <c r="C10" s="3675" t="s">
        <v>3333</v>
      </c>
      <c r="D10" s="3675">
        <v>4.4000000000000004</v>
      </c>
      <c r="E10" s="3675">
        <v>4.4000000000000004</v>
      </c>
      <c r="F10" s="3675">
        <v>4.4000000000000004</v>
      </c>
      <c r="G10" s="3675">
        <v>0</v>
      </c>
      <c r="H10" s="3675">
        <v>0</v>
      </c>
      <c r="I10" s="3675" t="s">
        <v>3269</v>
      </c>
      <c r="J10" s="3675" t="s">
        <v>3269</v>
      </c>
      <c r="K10" s="3675" t="s">
        <v>3264</v>
      </c>
    </row>
    <row r="11" spans="1:15" ht="16.5">
      <c r="A11" s="3674"/>
      <c r="B11" s="3717" t="s">
        <v>16</v>
      </c>
      <c r="C11" s="3717"/>
      <c r="D11" s="3717"/>
      <c r="E11" s="3717"/>
      <c r="F11" s="3672">
        <f>SUM(F4:F10)</f>
        <v>65.34</v>
      </c>
      <c r="G11" s="3672"/>
      <c r="H11" s="3672"/>
      <c r="I11" s="3672"/>
      <c r="J11" s="3672"/>
      <c r="K11" s="3672"/>
    </row>
    <row r="12" spans="1:15" ht="24.75" customHeight="1">
      <c r="A12" s="3676">
        <v>8</v>
      </c>
      <c r="B12" s="3676" t="s">
        <v>3372</v>
      </c>
      <c r="C12" s="3675" t="s">
        <v>3329</v>
      </c>
      <c r="D12" s="3675">
        <v>27.6</v>
      </c>
      <c r="E12" s="3675">
        <v>14.14</v>
      </c>
      <c r="F12" s="3675">
        <v>5.93</v>
      </c>
      <c r="G12" s="3675">
        <v>8.2100000000000009</v>
      </c>
      <c r="H12" s="3675">
        <v>13.46</v>
      </c>
      <c r="I12" s="3675" t="s">
        <v>3269</v>
      </c>
      <c r="J12" s="3675" t="s">
        <v>3285</v>
      </c>
      <c r="K12" s="3676" t="s">
        <v>3312</v>
      </c>
    </row>
    <row r="13" spans="1:15" ht="16.5">
      <c r="A13" s="3676">
        <v>9</v>
      </c>
      <c r="B13" s="3683" t="s">
        <v>3332</v>
      </c>
      <c r="C13" s="3684" t="s">
        <v>3329</v>
      </c>
      <c r="D13" s="3684">
        <v>14.45</v>
      </c>
      <c r="E13" s="3684">
        <v>7.19</v>
      </c>
      <c r="F13" s="3684">
        <v>5.09</v>
      </c>
      <c r="G13" s="3684">
        <v>2.1</v>
      </c>
      <c r="H13" s="3684">
        <v>7.26</v>
      </c>
      <c r="I13" s="3684" t="s">
        <v>3269</v>
      </c>
      <c r="J13" s="3684" t="s">
        <v>3285</v>
      </c>
      <c r="K13" s="3683" t="s">
        <v>3312</v>
      </c>
    </row>
    <row r="14" spans="1:15" ht="16.5">
      <c r="A14" s="3676">
        <v>10</v>
      </c>
      <c r="B14" s="3676" t="s">
        <v>3357</v>
      </c>
      <c r="C14" s="3675" t="s">
        <v>3329</v>
      </c>
      <c r="D14" s="3675">
        <v>65</v>
      </c>
      <c r="E14" s="3675">
        <v>15.84</v>
      </c>
      <c r="F14" s="3675">
        <v>7.59</v>
      </c>
      <c r="G14" s="3675">
        <v>8.25</v>
      </c>
      <c r="H14" s="3675">
        <v>49.16</v>
      </c>
      <c r="I14" s="3675" t="s">
        <v>3273</v>
      </c>
      <c r="J14" s="3675" t="s">
        <v>3273</v>
      </c>
      <c r="K14" s="3676" t="s">
        <v>3331</v>
      </c>
    </row>
    <row r="15" spans="1:15" ht="16.5">
      <c r="A15" s="3676">
        <v>11</v>
      </c>
      <c r="B15" s="3676" t="s">
        <v>3358</v>
      </c>
      <c r="C15" s="3675" t="s">
        <v>3329</v>
      </c>
      <c r="D15" s="3675">
        <v>20.059999999999999</v>
      </c>
      <c r="E15" s="3675">
        <v>10</v>
      </c>
      <c r="F15" s="3675">
        <v>10</v>
      </c>
      <c r="G15" s="3675">
        <v>0</v>
      </c>
      <c r="H15" s="3675">
        <v>10.06</v>
      </c>
      <c r="I15" s="3675" t="s">
        <v>3273</v>
      </c>
      <c r="J15" s="3675" t="s">
        <v>3273</v>
      </c>
      <c r="K15" s="3676" t="s">
        <v>3328</v>
      </c>
    </row>
    <row r="16" spans="1:15" ht="16.5">
      <c r="A16" s="3676">
        <v>12</v>
      </c>
      <c r="B16" s="3676" t="s">
        <v>3330</v>
      </c>
      <c r="C16" s="3675" t="s">
        <v>3329</v>
      </c>
      <c r="D16" s="3675">
        <v>30.02</v>
      </c>
      <c r="E16" s="3675">
        <v>10</v>
      </c>
      <c r="F16" s="3675">
        <v>10</v>
      </c>
      <c r="G16" s="3675">
        <v>0</v>
      </c>
      <c r="H16" s="3675">
        <v>20.02</v>
      </c>
      <c r="I16" s="3675" t="s">
        <v>3273</v>
      </c>
      <c r="J16" s="3675" t="s">
        <v>3273</v>
      </c>
      <c r="K16" s="3676" t="s">
        <v>3328</v>
      </c>
    </row>
    <row r="17" spans="1:11" ht="16.5">
      <c r="A17" s="3674"/>
      <c r="B17" s="3721" t="s">
        <v>16</v>
      </c>
      <c r="C17" s="3722"/>
      <c r="D17" s="3722"/>
      <c r="E17" s="3723"/>
      <c r="F17" s="3672">
        <f>SUM(F12:F16)</f>
        <v>38.61</v>
      </c>
      <c r="G17" s="3672"/>
      <c r="H17" s="3672"/>
      <c r="I17" s="3672"/>
      <c r="J17" s="3672"/>
      <c r="K17" s="3672"/>
    </row>
    <row r="18" spans="1:11" ht="16.5">
      <c r="A18" s="3676">
        <v>13</v>
      </c>
      <c r="B18" s="3676" t="s">
        <v>3327</v>
      </c>
      <c r="C18" s="3675" t="s">
        <v>3321</v>
      </c>
      <c r="D18" s="3675">
        <v>17.440000000000001</v>
      </c>
      <c r="E18" s="3675">
        <v>12.29</v>
      </c>
      <c r="F18" s="3675">
        <v>12.29</v>
      </c>
      <c r="G18" s="3675">
        <v>0</v>
      </c>
      <c r="H18" s="3675">
        <v>5.15</v>
      </c>
      <c r="I18" s="3675" t="s">
        <v>3273</v>
      </c>
      <c r="J18" s="3675" t="s">
        <v>3326</v>
      </c>
      <c r="K18" s="3675" t="s">
        <v>3325</v>
      </c>
    </row>
    <row r="19" spans="1:11" ht="16.5">
      <c r="A19" s="3676">
        <v>14</v>
      </c>
      <c r="B19" s="3676" t="s">
        <v>3363</v>
      </c>
      <c r="C19" s="3675" t="s">
        <v>3321</v>
      </c>
      <c r="D19" s="3675">
        <v>42.39</v>
      </c>
      <c r="E19" s="3675">
        <v>25.32</v>
      </c>
      <c r="F19" s="3675">
        <v>6.49</v>
      </c>
      <c r="G19" s="3675">
        <v>8.83</v>
      </c>
      <c r="H19" s="3675">
        <v>17.07</v>
      </c>
      <c r="I19" s="3675" t="s">
        <v>3273</v>
      </c>
      <c r="J19" s="3675" t="s">
        <v>3273</v>
      </c>
      <c r="K19" s="3676" t="s">
        <v>3296</v>
      </c>
    </row>
    <row r="20" spans="1:11" ht="33">
      <c r="A20" s="3676">
        <v>15</v>
      </c>
      <c r="B20" s="3676" t="s">
        <v>3364</v>
      </c>
      <c r="C20" s="3675" t="s">
        <v>3321</v>
      </c>
      <c r="D20" s="3675">
        <v>18.149999999999999</v>
      </c>
      <c r="E20" s="3675">
        <v>5.75</v>
      </c>
      <c r="F20" s="3675">
        <v>1.73</v>
      </c>
      <c r="G20" s="3675">
        <v>4.03</v>
      </c>
      <c r="H20" s="3675">
        <v>12.4</v>
      </c>
      <c r="I20" s="3675" t="s">
        <v>3273</v>
      </c>
      <c r="J20" s="3675" t="s">
        <v>3269</v>
      </c>
      <c r="K20" s="3676" t="s">
        <v>3324</v>
      </c>
    </row>
    <row r="21" spans="1:11" ht="16.5">
      <c r="A21" s="3676">
        <v>16</v>
      </c>
      <c r="B21" s="3676" t="s">
        <v>3323</v>
      </c>
      <c r="C21" s="3675" t="s">
        <v>3321</v>
      </c>
      <c r="D21" s="3675">
        <v>6.81</v>
      </c>
      <c r="E21" s="3675">
        <v>5.77</v>
      </c>
      <c r="F21" s="3675">
        <v>4.09</v>
      </c>
      <c r="G21" s="3675">
        <v>1.68</v>
      </c>
      <c r="H21" s="3675">
        <v>1.04</v>
      </c>
      <c r="I21" s="3675" t="s">
        <v>3266</v>
      </c>
      <c r="J21" s="3675" t="s">
        <v>3273</v>
      </c>
      <c r="K21" s="3676" t="s">
        <v>3322</v>
      </c>
    </row>
    <row r="22" spans="1:11" ht="16.5">
      <c r="A22" s="3676">
        <v>17</v>
      </c>
      <c r="B22" s="3676" t="s">
        <v>3365</v>
      </c>
      <c r="C22" s="3675" t="s">
        <v>3321</v>
      </c>
      <c r="D22" s="3675">
        <v>50.99</v>
      </c>
      <c r="E22" s="3675">
        <v>31.32</v>
      </c>
      <c r="F22" s="3675">
        <v>6.5</v>
      </c>
      <c r="G22" s="3675">
        <f>23-F22</f>
        <v>16.5</v>
      </c>
      <c r="H22" s="3675">
        <v>19.670000000000002</v>
      </c>
      <c r="I22" s="3675" t="s">
        <v>3269</v>
      </c>
      <c r="J22" s="3675" t="s">
        <v>3269</v>
      </c>
      <c r="K22" s="3676" t="s">
        <v>3320</v>
      </c>
    </row>
    <row r="23" spans="1:11" ht="16.5">
      <c r="A23" s="3674"/>
      <c r="B23" s="3721" t="s">
        <v>16</v>
      </c>
      <c r="C23" s="3722"/>
      <c r="D23" s="3722"/>
      <c r="E23" s="3723"/>
      <c r="F23" s="3672">
        <f>SUM(F18:F22)</f>
        <v>31.1</v>
      </c>
      <c r="G23" s="3672"/>
      <c r="H23" s="3672"/>
      <c r="I23" s="3672"/>
      <c r="J23" s="3672"/>
      <c r="K23" s="3672"/>
    </row>
    <row r="24" spans="1:11" ht="16.5">
      <c r="A24" s="3676">
        <v>18</v>
      </c>
      <c r="B24" s="3676" t="s">
        <v>3366</v>
      </c>
      <c r="C24" s="3675" t="s">
        <v>3316</v>
      </c>
      <c r="D24" s="3675">
        <v>14.8</v>
      </c>
      <c r="E24" s="3675">
        <v>11.8</v>
      </c>
      <c r="F24" s="3675">
        <v>11.8</v>
      </c>
      <c r="G24" s="3675">
        <v>0</v>
      </c>
      <c r="H24" s="3675">
        <v>3</v>
      </c>
      <c r="I24" s="3675" t="s">
        <v>3273</v>
      </c>
      <c r="J24" s="3675" t="s">
        <v>3273</v>
      </c>
      <c r="K24" s="3676" t="s">
        <v>3319</v>
      </c>
    </row>
    <row r="25" spans="1:11" ht="16.5">
      <c r="A25" s="3676">
        <v>19</v>
      </c>
      <c r="B25" s="3676" t="s">
        <v>3367</v>
      </c>
      <c r="C25" s="3675" t="s">
        <v>3316</v>
      </c>
      <c r="D25" s="3675">
        <v>243.03</v>
      </c>
      <c r="E25" s="3675">
        <v>130.63</v>
      </c>
      <c r="F25" s="3675">
        <v>74.12</v>
      </c>
      <c r="G25" s="3675">
        <v>42.38</v>
      </c>
      <c r="H25" s="3675">
        <v>112.4</v>
      </c>
      <c r="I25" s="3675" t="s">
        <v>3273</v>
      </c>
      <c r="J25" s="3675" t="s">
        <v>3273</v>
      </c>
      <c r="K25" s="3676" t="s">
        <v>3318</v>
      </c>
    </row>
    <row r="26" spans="1:11" ht="16.5">
      <c r="A26" s="3676">
        <v>20</v>
      </c>
      <c r="B26" s="3676" t="s">
        <v>3317</v>
      </c>
      <c r="C26" s="3675" t="s">
        <v>3316</v>
      </c>
      <c r="D26" s="3675">
        <v>50.45</v>
      </c>
      <c r="E26" s="3675">
        <v>32.18</v>
      </c>
      <c r="F26" s="3675">
        <v>32.18</v>
      </c>
      <c r="G26" s="3675">
        <v>0</v>
      </c>
      <c r="H26" s="3675">
        <v>18.27</v>
      </c>
      <c r="I26" s="3675" t="s">
        <v>3273</v>
      </c>
      <c r="J26" s="3675" t="s">
        <v>3273</v>
      </c>
      <c r="K26" s="3676" t="s">
        <v>3296</v>
      </c>
    </row>
    <row r="27" spans="1:11" ht="16.5">
      <c r="A27" s="3674"/>
      <c r="B27" s="3721" t="s">
        <v>16</v>
      </c>
      <c r="C27" s="3722"/>
      <c r="D27" s="3722"/>
      <c r="E27" s="3723"/>
      <c r="F27" s="3672">
        <f>SUM(F24:F26)</f>
        <v>118.1</v>
      </c>
      <c r="G27" s="3672"/>
      <c r="H27" s="3672"/>
      <c r="I27" s="3672"/>
      <c r="J27" s="3672"/>
      <c r="K27" s="3672"/>
    </row>
    <row r="28" spans="1:11" ht="16.5">
      <c r="A28" s="3674"/>
      <c r="B28" s="3721" t="s">
        <v>3263</v>
      </c>
      <c r="C28" s="3722"/>
      <c r="D28" s="3722"/>
      <c r="E28" s="3723"/>
      <c r="F28" s="3672">
        <f>SUM(F27,F23,F17,F11)</f>
        <v>253.15</v>
      </c>
      <c r="G28" s="3672"/>
      <c r="H28" s="3672"/>
      <c r="I28" s="3672"/>
      <c r="J28" s="3672"/>
      <c r="K28" s="3672"/>
    </row>
    <row r="29" spans="1:11" ht="16.5">
      <c r="A29" s="3676">
        <v>21</v>
      </c>
      <c r="B29" s="3676" t="s">
        <v>3315</v>
      </c>
      <c r="C29" s="3675"/>
      <c r="D29" s="3675">
        <v>27.24</v>
      </c>
      <c r="E29" s="3675">
        <v>8.17</v>
      </c>
      <c r="F29" s="3675">
        <v>0.37</v>
      </c>
      <c r="G29" s="3675">
        <v>4.28</v>
      </c>
      <c r="H29" s="3675">
        <v>19.07</v>
      </c>
      <c r="I29" s="3675" t="s">
        <v>3269</v>
      </c>
      <c r="J29" s="3675" t="s">
        <v>3269</v>
      </c>
      <c r="K29" s="3675" t="s">
        <v>3264</v>
      </c>
    </row>
    <row r="30" spans="1:11" ht="16.5">
      <c r="A30" s="3676">
        <v>22</v>
      </c>
      <c r="B30" s="3676" t="s">
        <v>3314</v>
      </c>
      <c r="C30" s="3675"/>
      <c r="D30" s="3675">
        <v>10.19</v>
      </c>
      <c r="E30" s="3675">
        <v>0.83</v>
      </c>
      <c r="F30" s="3675">
        <v>0.83</v>
      </c>
      <c r="G30" s="3675">
        <v>0</v>
      </c>
      <c r="H30" s="3675">
        <v>9.36</v>
      </c>
      <c r="I30" s="3675" t="s">
        <v>3269</v>
      </c>
      <c r="J30" s="3675" t="s">
        <v>3269</v>
      </c>
      <c r="K30" s="3675" t="s">
        <v>3264</v>
      </c>
    </row>
    <row r="31" spans="1:11" ht="15.75" customHeight="1">
      <c r="A31" s="3676">
        <v>23</v>
      </c>
      <c r="B31" s="3676" t="s">
        <v>3313</v>
      </c>
      <c r="C31" s="3675"/>
      <c r="D31" s="3675">
        <v>7.62</v>
      </c>
      <c r="E31" s="3675">
        <v>3.3</v>
      </c>
      <c r="F31" s="3675"/>
      <c r="G31" s="3675">
        <v>3.3</v>
      </c>
      <c r="H31" s="3675">
        <v>4.32</v>
      </c>
      <c r="I31" s="3675" t="s">
        <v>3269</v>
      </c>
      <c r="J31" s="3675" t="s">
        <v>3269</v>
      </c>
      <c r="K31" s="3676" t="s">
        <v>3312</v>
      </c>
    </row>
    <row r="32" spans="1:11" ht="16.5">
      <c r="A32" s="3683">
        <v>24</v>
      </c>
      <c r="B32" s="3683" t="s">
        <v>3311</v>
      </c>
      <c r="C32" s="3675"/>
      <c r="D32" s="3675">
        <v>40.32</v>
      </c>
      <c r="E32" s="3675">
        <v>29.86</v>
      </c>
      <c r="F32" s="3675"/>
      <c r="G32" s="3684">
        <v>29.86</v>
      </c>
      <c r="H32" s="3675">
        <v>10.46</v>
      </c>
      <c r="I32" s="3675" t="s">
        <v>3269</v>
      </c>
      <c r="J32" s="3675" t="s">
        <v>3269</v>
      </c>
      <c r="K32" s="3676" t="s">
        <v>3287</v>
      </c>
    </row>
    <row r="33" spans="1:11" ht="16.5">
      <c r="A33" s="3683">
        <v>25</v>
      </c>
      <c r="B33" s="3683" t="s">
        <v>3310</v>
      </c>
      <c r="C33" s="3675"/>
      <c r="D33" s="3675">
        <v>44.48</v>
      </c>
      <c r="E33" s="3675">
        <v>24.84</v>
      </c>
      <c r="F33" s="3675"/>
      <c r="G33" s="3675">
        <v>24.84</v>
      </c>
      <c r="H33" s="3675">
        <v>19.64</v>
      </c>
      <c r="I33" s="3675" t="s">
        <v>3269</v>
      </c>
      <c r="J33" s="3675" t="s">
        <v>3285</v>
      </c>
      <c r="K33" s="3676" t="s">
        <v>3287</v>
      </c>
    </row>
    <row r="34" spans="1:11" ht="16.5">
      <c r="A34" s="3683">
        <v>26</v>
      </c>
      <c r="B34" s="3683" t="s">
        <v>3309</v>
      </c>
      <c r="C34" s="3675"/>
      <c r="D34" s="3675">
        <v>31.38</v>
      </c>
      <c r="E34" s="3675">
        <v>21.77</v>
      </c>
      <c r="F34" s="3675"/>
      <c r="G34" s="3675">
        <v>21.77</v>
      </c>
      <c r="H34" s="3675">
        <v>9.61</v>
      </c>
      <c r="I34" s="3675" t="s">
        <v>3269</v>
      </c>
      <c r="J34" s="3675" t="s">
        <v>3285</v>
      </c>
      <c r="K34" s="3676" t="s">
        <v>3287</v>
      </c>
    </row>
    <row r="35" spans="1:11" ht="16.5">
      <c r="A35" s="3683">
        <v>27</v>
      </c>
      <c r="B35" s="3683" t="s">
        <v>3308</v>
      </c>
      <c r="C35" s="3675"/>
      <c r="D35" s="3675">
        <v>38.21</v>
      </c>
      <c r="E35" s="3675">
        <v>26.09</v>
      </c>
      <c r="F35" s="3675"/>
      <c r="G35" s="3675">
        <v>26.09</v>
      </c>
      <c r="H35" s="3675">
        <v>12.12</v>
      </c>
      <c r="I35" s="3675" t="s">
        <v>3273</v>
      </c>
      <c r="J35" s="3675" t="s">
        <v>3273</v>
      </c>
      <c r="K35" s="3676" t="s">
        <v>3287</v>
      </c>
    </row>
    <row r="36" spans="1:11" ht="16.5">
      <c r="A36" s="3683">
        <v>28</v>
      </c>
      <c r="B36" s="3683" t="s">
        <v>3307</v>
      </c>
      <c r="C36" s="3675"/>
      <c r="D36" s="3675">
        <v>36.07</v>
      </c>
      <c r="E36" s="3675">
        <v>21.35</v>
      </c>
      <c r="F36" s="3675"/>
      <c r="G36" s="3675">
        <v>21.35</v>
      </c>
      <c r="H36" s="3675">
        <v>14.72</v>
      </c>
      <c r="I36" s="3675" t="s">
        <v>3273</v>
      </c>
      <c r="J36" s="3675" t="s">
        <v>3273</v>
      </c>
      <c r="K36" s="3676" t="s">
        <v>3287</v>
      </c>
    </row>
    <row r="37" spans="1:11" ht="16.5">
      <c r="A37" s="3683">
        <v>29</v>
      </c>
      <c r="B37" s="3683" t="s">
        <v>3306</v>
      </c>
      <c r="C37" s="3675"/>
      <c r="D37" s="3675">
        <v>10.45</v>
      </c>
      <c r="E37" s="3675">
        <v>4.88</v>
      </c>
      <c r="F37" s="3675"/>
      <c r="G37" s="3675">
        <v>4.88</v>
      </c>
      <c r="H37" s="3675">
        <v>5.57</v>
      </c>
      <c r="I37" s="3675" t="s">
        <v>3273</v>
      </c>
      <c r="J37" s="3675" t="s">
        <v>3273</v>
      </c>
      <c r="K37" s="3676" t="s">
        <v>3287</v>
      </c>
    </row>
    <row r="38" spans="1:11" ht="16.5">
      <c r="A38" s="3683">
        <v>30</v>
      </c>
      <c r="B38" s="3683" t="s">
        <v>3305</v>
      </c>
      <c r="C38" s="3675"/>
      <c r="D38" s="3675">
        <v>27</v>
      </c>
      <c r="E38" s="3675">
        <v>19.489999999999998</v>
      </c>
      <c r="F38" s="3675"/>
      <c r="G38" s="3675">
        <v>19.489999999999998</v>
      </c>
      <c r="H38" s="3675">
        <v>7.51</v>
      </c>
      <c r="I38" s="3675" t="s">
        <v>3273</v>
      </c>
      <c r="J38" s="3675" t="s">
        <v>3273</v>
      </c>
      <c r="K38" s="3676" t="s">
        <v>3287</v>
      </c>
    </row>
    <row r="39" spans="1:11" ht="16.5">
      <c r="A39" s="3683">
        <v>31</v>
      </c>
      <c r="B39" s="3683" t="s">
        <v>3304</v>
      </c>
      <c r="C39" s="3675"/>
      <c r="D39" s="3675">
        <v>10.78</v>
      </c>
      <c r="E39" s="3675">
        <v>5.21</v>
      </c>
      <c r="F39" s="3675"/>
      <c r="G39" s="3675">
        <v>5.21</v>
      </c>
      <c r="H39" s="3675">
        <v>5.57</v>
      </c>
      <c r="I39" s="3675" t="s">
        <v>3273</v>
      </c>
      <c r="J39" s="3675" t="s">
        <v>3273</v>
      </c>
      <c r="K39" s="3676" t="s">
        <v>3287</v>
      </c>
    </row>
    <row r="40" spans="1:11" ht="16.5">
      <c r="A40" s="3676">
        <v>32</v>
      </c>
      <c r="B40" s="3676" t="s">
        <v>3303</v>
      </c>
      <c r="C40" s="3675"/>
      <c r="D40" s="3675">
        <v>35.729999999999997</v>
      </c>
      <c r="E40" s="3675">
        <v>26.1</v>
      </c>
      <c r="F40" s="3675"/>
      <c r="G40" s="3675">
        <v>26.1</v>
      </c>
      <c r="H40" s="3675">
        <v>9.6300000000000008</v>
      </c>
      <c r="I40" s="3675" t="s">
        <v>3269</v>
      </c>
      <c r="J40" s="3675" t="s">
        <v>3269</v>
      </c>
      <c r="K40" s="3676" t="s">
        <v>3275</v>
      </c>
    </row>
    <row r="41" spans="1:11" ht="16.5">
      <c r="A41" s="3676">
        <v>33</v>
      </c>
      <c r="B41" s="3676" t="s">
        <v>3302</v>
      </c>
      <c r="C41" s="3675"/>
      <c r="D41" s="3675">
        <v>9.68</v>
      </c>
      <c r="E41" s="3675">
        <v>0</v>
      </c>
      <c r="F41" s="3675"/>
      <c r="G41" s="3675">
        <v>0</v>
      </c>
      <c r="H41" s="3675">
        <v>9.68</v>
      </c>
      <c r="I41" s="3675" t="s">
        <v>3269</v>
      </c>
      <c r="J41" s="3675" t="s">
        <v>3269</v>
      </c>
      <c r="K41" s="3676" t="s">
        <v>3275</v>
      </c>
    </row>
    <row r="42" spans="1:11" ht="17.25" customHeight="1">
      <c r="A42" s="3676">
        <v>34</v>
      </c>
      <c r="B42" s="3676" t="s">
        <v>3301</v>
      </c>
      <c r="C42" s="3675"/>
      <c r="D42" s="3675">
        <v>5.89</v>
      </c>
      <c r="E42" s="3675">
        <v>0</v>
      </c>
      <c r="F42" s="3675"/>
      <c r="G42" s="3675">
        <v>0</v>
      </c>
      <c r="H42" s="3675">
        <v>5.89</v>
      </c>
      <c r="I42" s="3675" t="s">
        <v>3269</v>
      </c>
      <c r="J42" s="3675" t="s">
        <v>3269</v>
      </c>
      <c r="K42" s="3676" t="s">
        <v>3275</v>
      </c>
    </row>
    <row r="43" spans="1:11" ht="16.5">
      <c r="A43" s="3676">
        <v>35</v>
      </c>
      <c r="B43" s="3676" t="s">
        <v>3300</v>
      </c>
      <c r="C43" s="3675"/>
      <c r="D43" s="3675">
        <v>3.87</v>
      </c>
      <c r="E43" s="3675">
        <v>2.36</v>
      </c>
      <c r="F43" s="3675"/>
      <c r="G43" s="3675">
        <v>2.36</v>
      </c>
      <c r="H43" s="3675">
        <v>1.51</v>
      </c>
      <c r="I43" s="3675" t="s">
        <v>3269</v>
      </c>
      <c r="J43" s="3675" t="s">
        <v>3269</v>
      </c>
      <c r="K43" s="3676" t="s">
        <v>3299</v>
      </c>
    </row>
    <row r="44" spans="1:11" ht="16.5">
      <c r="A44" s="3676">
        <v>36</v>
      </c>
      <c r="B44" s="3676" t="s">
        <v>3298</v>
      </c>
      <c r="C44" s="3675"/>
      <c r="D44" s="3675">
        <v>9.5500000000000007</v>
      </c>
      <c r="E44" s="3675">
        <v>8.18</v>
      </c>
      <c r="F44" s="3675"/>
      <c r="G44" s="3675">
        <v>8.18</v>
      </c>
      <c r="H44" s="3675">
        <v>1.37</v>
      </c>
      <c r="I44" s="3675" t="s">
        <v>3269</v>
      </c>
      <c r="J44" s="3675" t="s">
        <v>3269</v>
      </c>
      <c r="K44" s="3676" t="s">
        <v>3296</v>
      </c>
    </row>
    <row r="45" spans="1:11" ht="16.5">
      <c r="A45" s="3676">
        <v>37</v>
      </c>
      <c r="B45" s="3676" t="s">
        <v>3297</v>
      </c>
      <c r="C45" s="3675"/>
      <c r="D45" s="3675">
        <v>18.559999999999999</v>
      </c>
      <c r="E45" s="3675">
        <v>18.559999999999999</v>
      </c>
      <c r="F45" s="3675"/>
      <c r="G45" s="3675">
        <v>18.559999999999999</v>
      </c>
      <c r="H45" s="3675">
        <v>0</v>
      </c>
      <c r="I45" s="3675" t="s">
        <v>3269</v>
      </c>
      <c r="J45" s="3675" t="s">
        <v>3269</v>
      </c>
      <c r="K45" s="3676" t="s">
        <v>3296</v>
      </c>
    </row>
    <row r="46" spans="1:11" ht="16.5">
      <c r="A46" s="3676">
        <v>38</v>
      </c>
      <c r="B46" s="3676" t="s">
        <v>3295</v>
      </c>
      <c r="C46" s="3675"/>
      <c r="D46" s="3675">
        <v>5.09</v>
      </c>
      <c r="E46" s="3675">
        <v>0.64</v>
      </c>
      <c r="F46" s="3675"/>
      <c r="G46" s="3675">
        <v>0</v>
      </c>
      <c r="H46" s="3675">
        <v>4.46</v>
      </c>
      <c r="I46" s="3675" t="s">
        <v>3269</v>
      </c>
      <c r="J46" s="3675" t="s">
        <v>3269</v>
      </c>
      <c r="K46" s="3675" t="s">
        <v>3264</v>
      </c>
    </row>
    <row r="47" spans="1:11" ht="16.5">
      <c r="A47" s="3676">
        <v>39</v>
      </c>
      <c r="B47" s="3676" t="s">
        <v>3294</v>
      </c>
      <c r="C47" s="3675"/>
      <c r="D47" s="3675">
        <v>23.81</v>
      </c>
      <c r="E47" s="3675">
        <v>15.05</v>
      </c>
      <c r="F47" s="3675"/>
      <c r="G47" s="3675">
        <v>0</v>
      </c>
      <c r="H47" s="3675">
        <v>8.76</v>
      </c>
      <c r="I47" s="3675" t="s">
        <v>3269</v>
      </c>
      <c r="J47" s="3675" t="s">
        <v>3285</v>
      </c>
      <c r="K47" s="3675" t="s">
        <v>3264</v>
      </c>
    </row>
    <row r="48" spans="1:11" ht="16.5">
      <c r="A48" s="3676">
        <v>40</v>
      </c>
      <c r="B48" s="3676" t="s">
        <v>3293</v>
      </c>
      <c r="C48" s="3675"/>
      <c r="D48" s="3675">
        <v>10.63</v>
      </c>
      <c r="E48" s="3675">
        <v>8.86</v>
      </c>
      <c r="F48" s="3675"/>
      <c r="G48" s="3675">
        <v>0</v>
      </c>
      <c r="H48" s="3675">
        <v>1.77</v>
      </c>
      <c r="I48" s="3675" t="s">
        <v>3269</v>
      </c>
      <c r="J48" s="3675" t="s">
        <v>3285</v>
      </c>
      <c r="K48" s="3675" t="s">
        <v>3264</v>
      </c>
    </row>
    <row r="49" spans="1:11" ht="16.5">
      <c r="A49" s="3676">
        <v>41</v>
      </c>
      <c r="B49" s="3676" t="s">
        <v>3292</v>
      </c>
      <c r="C49" s="3675"/>
      <c r="D49" s="3675">
        <v>154.72</v>
      </c>
      <c r="E49" s="3675">
        <v>68.19</v>
      </c>
      <c r="F49" s="3675"/>
      <c r="G49" s="3675">
        <v>55.07</v>
      </c>
      <c r="H49" s="3675">
        <v>86.53</v>
      </c>
      <c r="I49" s="3675" t="s">
        <v>3265</v>
      </c>
      <c r="J49" s="3675" t="s">
        <v>3285</v>
      </c>
      <c r="K49" s="3676" t="s">
        <v>3291</v>
      </c>
    </row>
    <row r="50" spans="1:11" ht="16.5">
      <c r="A50" s="3676">
        <v>42</v>
      </c>
      <c r="B50" s="3676" t="s">
        <v>3290</v>
      </c>
      <c r="C50" s="3675"/>
      <c r="D50" s="3675">
        <v>280.43</v>
      </c>
      <c r="E50" s="3675">
        <v>177.89</v>
      </c>
      <c r="F50" s="3675"/>
      <c r="G50" s="3675">
        <v>177.89</v>
      </c>
      <c r="H50" s="3675">
        <v>102.54</v>
      </c>
      <c r="I50" s="3675" t="s">
        <v>3269</v>
      </c>
      <c r="J50" s="3675" t="s">
        <v>3285</v>
      </c>
      <c r="K50" s="3675" t="s">
        <v>3289</v>
      </c>
    </row>
    <row r="51" spans="1:11" ht="16.5">
      <c r="A51" s="3676">
        <v>43</v>
      </c>
      <c r="B51" s="3676" t="s">
        <v>3288</v>
      </c>
      <c r="C51" s="3675"/>
      <c r="D51" s="3675">
        <v>61.02</v>
      </c>
      <c r="E51" s="3675">
        <v>25.1</v>
      </c>
      <c r="F51" s="3675"/>
      <c r="G51" s="3675">
        <v>24.3</v>
      </c>
      <c r="H51" s="3675">
        <v>35.92</v>
      </c>
      <c r="I51" s="3675" t="s">
        <v>3273</v>
      </c>
      <c r="J51" s="3675" t="s">
        <v>3285</v>
      </c>
      <c r="K51" s="3676" t="s">
        <v>3287</v>
      </c>
    </row>
    <row r="52" spans="1:11" ht="16.5">
      <c r="A52" s="3676">
        <v>44</v>
      </c>
      <c r="B52" s="3676" t="s">
        <v>3286</v>
      </c>
      <c r="C52" s="3675"/>
      <c r="D52" s="3675">
        <v>3.77</v>
      </c>
      <c r="E52" s="3675">
        <v>1.38</v>
      </c>
      <c r="F52" s="3675"/>
      <c r="G52" s="3675">
        <v>1.38</v>
      </c>
      <c r="H52" s="3675">
        <v>2.39</v>
      </c>
      <c r="I52" s="3675" t="s">
        <v>3269</v>
      </c>
      <c r="J52" s="3675" t="s">
        <v>3285</v>
      </c>
      <c r="K52" s="3676" t="s">
        <v>3268</v>
      </c>
    </row>
    <row r="53" spans="1:11" ht="16.5">
      <c r="A53" s="3676">
        <v>45</v>
      </c>
      <c r="B53" s="3676" t="s">
        <v>3284</v>
      </c>
      <c r="C53" s="3675"/>
      <c r="D53" s="3675">
        <v>20.03</v>
      </c>
      <c r="E53" s="3675">
        <v>3.04</v>
      </c>
      <c r="F53" s="3675"/>
      <c r="G53" s="3675">
        <v>0</v>
      </c>
      <c r="H53" s="3675">
        <v>16.989999999999998</v>
      </c>
      <c r="I53" s="3675" t="s">
        <v>3266</v>
      </c>
      <c r="J53" s="3675" t="s">
        <v>3269</v>
      </c>
      <c r="K53" s="3675" t="s">
        <v>3264</v>
      </c>
    </row>
    <row r="54" spans="1:11" ht="33">
      <c r="A54" s="3676">
        <v>46</v>
      </c>
      <c r="B54" s="3676" t="s">
        <v>3283</v>
      </c>
      <c r="C54" s="3675"/>
      <c r="D54" s="3675">
        <v>20.64</v>
      </c>
      <c r="E54" s="3675">
        <v>12.41</v>
      </c>
      <c r="F54" s="3675"/>
      <c r="G54" s="3675">
        <v>12.41</v>
      </c>
      <c r="H54" s="3675">
        <v>8.23</v>
      </c>
      <c r="I54" s="3675" t="s">
        <v>3265</v>
      </c>
      <c r="J54" s="3675" t="s">
        <v>3265</v>
      </c>
      <c r="K54" s="3676" t="s">
        <v>3277</v>
      </c>
    </row>
    <row r="55" spans="1:11" ht="16.5">
      <c r="A55" s="3676">
        <v>47</v>
      </c>
      <c r="B55" s="3676" t="s">
        <v>3282</v>
      </c>
      <c r="C55" s="3675"/>
      <c r="D55" s="3675">
        <v>3.05</v>
      </c>
      <c r="E55" s="3675">
        <v>0</v>
      </c>
      <c r="F55" s="3675"/>
      <c r="G55" s="3675">
        <v>0</v>
      </c>
      <c r="H55" s="3675">
        <v>3.05</v>
      </c>
      <c r="I55" s="3675" t="s">
        <v>3269</v>
      </c>
      <c r="J55" s="3675" t="s">
        <v>3269</v>
      </c>
      <c r="K55" s="3675" t="s">
        <v>3264</v>
      </c>
    </row>
    <row r="56" spans="1:11" ht="16.5">
      <c r="A56" s="3676">
        <v>48</v>
      </c>
      <c r="B56" s="3676" t="s">
        <v>3281</v>
      </c>
      <c r="C56" s="3675"/>
      <c r="D56" s="3675">
        <v>33.26</v>
      </c>
      <c r="E56" s="3675">
        <v>15.82</v>
      </c>
      <c r="F56" s="3675"/>
      <c r="G56" s="3675">
        <v>6.82</v>
      </c>
      <c r="H56" s="3675">
        <v>17.440000000000001</v>
      </c>
      <c r="I56" s="3675" t="s">
        <v>3269</v>
      </c>
      <c r="J56" s="3675" t="s">
        <v>3269</v>
      </c>
      <c r="K56" s="3675" t="s">
        <v>3264</v>
      </c>
    </row>
    <row r="57" spans="1:11" ht="16.5">
      <c r="A57" s="3676">
        <v>49</v>
      </c>
      <c r="B57" s="3676" t="s">
        <v>3280</v>
      </c>
      <c r="C57" s="3675"/>
      <c r="D57" s="3675">
        <v>20.39</v>
      </c>
      <c r="E57" s="3675">
        <v>4.25</v>
      </c>
      <c r="F57" s="3675"/>
      <c r="G57" s="3675">
        <v>1.1000000000000001</v>
      </c>
      <c r="H57" s="3675">
        <v>16.14</v>
      </c>
      <c r="I57" s="3675" t="s">
        <v>3269</v>
      </c>
      <c r="J57" s="3675" t="s">
        <v>3269</v>
      </c>
      <c r="K57" s="3675" t="s">
        <v>3264</v>
      </c>
    </row>
    <row r="58" spans="1:11" ht="16.5">
      <c r="A58" s="3676">
        <v>50</v>
      </c>
      <c r="B58" s="3676" t="s">
        <v>3279</v>
      </c>
      <c r="C58" s="3675"/>
      <c r="D58" s="3675">
        <v>3.15</v>
      </c>
      <c r="E58" s="3675">
        <v>0.67</v>
      </c>
      <c r="F58" s="3675"/>
      <c r="G58" s="3675">
        <v>0</v>
      </c>
      <c r="H58" s="3675">
        <v>2.48</v>
      </c>
      <c r="I58" s="3675" t="s">
        <v>3269</v>
      </c>
      <c r="J58" s="3675" t="s">
        <v>3269</v>
      </c>
      <c r="K58" s="3675" t="s">
        <v>3264</v>
      </c>
    </row>
    <row r="59" spans="1:11" ht="33">
      <c r="A59" s="3676">
        <v>51</v>
      </c>
      <c r="B59" s="3676" t="s">
        <v>3278</v>
      </c>
      <c r="C59" s="3675"/>
      <c r="D59" s="3675">
        <v>7.43</v>
      </c>
      <c r="E59" s="3675">
        <v>5.33</v>
      </c>
      <c r="F59" s="3675"/>
      <c r="G59" s="3675">
        <v>0</v>
      </c>
      <c r="H59" s="3675">
        <v>2.1</v>
      </c>
      <c r="I59" s="3675" t="s">
        <v>3269</v>
      </c>
      <c r="J59" s="3675" t="s">
        <v>3269</v>
      </c>
      <c r="K59" s="3676" t="s">
        <v>3277</v>
      </c>
    </row>
    <row r="60" spans="1:11" ht="16.5">
      <c r="A60" s="3676">
        <v>52</v>
      </c>
      <c r="B60" s="3676" t="s">
        <v>3276</v>
      </c>
      <c r="C60" s="3675"/>
      <c r="D60" s="3675">
        <v>26.92</v>
      </c>
      <c r="E60" s="3675">
        <v>11.51</v>
      </c>
      <c r="F60" s="3675"/>
      <c r="G60" s="3675">
        <v>11.51</v>
      </c>
      <c r="H60" s="3675">
        <v>15.41</v>
      </c>
      <c r="I60" s="3675" t="s">
        <v>3273</v>
      </c>
      <c r="J60" s="3675" t="s">
        <v>3273</v>
      </c>
      <c r="K60" s="3676" t="s">
        <v>3275</v>
      </c>
    </row>
    <row r="61" spans="1:11" ht="16.5">
      <c r="A61" s="3676">
        <v>53</v>
      </c>
      <c r="B61" s="3676" t="s">
        <v>3274</v>
      </c>
      <c r="C61" s="3675"/>
      <c r="D61" s="3675">
        <v>2.77</v>
      </c>
      <c r="E61" s="3675">
        <v>2.77</v>
      </c>
      <c r="F61" s="3675"/>
      <c r="G61" s="3675">
        <v>2.77</v>
      </c>
      <c r="H61" s="3675">
        <v>0</v>
      </c>
      <c r="I61" s="3675" t="s">
        <v>3273</v>
      </c>
      <c r="J61" s="3675" t="s">
        <v>3273</v>
      </c>
      <c r="K61" s="3676" t="s">
        <v>3271</v>
      </c>
    </row>
    <row r="62" spans="1:11" ht="16.5">
      <c r="A62" s="3676">
        <v>54</v>
      </c>
      <c r="B62" s="3676" t="s">
        <v>3272</v>
      </c>
      <c r="C62" s="3675"/>
      <c r="D62" s="3675">
        <v>36.25</v>
      </c>
      <c r="E62" s="3675">
        <v>18.34</v>
      </c>
      <c r="F62" s="3675"/>
      <c r="G62" s="3675">
        <v>18.34</v>
      </c>
      <c r="H62" s="3675">
        <v>17.91</v>
      </c>
      <c r="I62" s="3675" t="s">
        <v>3269</v>
      </c>
      <c r="J62" s="3675" t="s">
        <v>3269</v>
      </c>
      <c r="K62" s="3676" t="s">
        <v>3271</v>
      </c>
    </row>
    <row r="63" spans="1:11" ht="16.5">
      <c r="A63" s="3676">
        <v>55</v>
      </c>
      <c r="B63" s="3676" t="s">
        <v>3270</v>
      </c>
      <c r="C63" s="3675"/>
      <c r="D63" s="3675">
        <v>26.36</v>
      </c>
      <c r="E63" s="3675">
        <v>21.18</v>
      </c>
      <c r="F63" s="3675"/>
      <c r="G63" s="3675">
        <v>14.21</v>
      </c>
      <c r="H63" s="3675">
        <v>5.18</v>
      </c>
      <c r="I63" s="3675" t="s">
        <v>3266</v>
      </c>
      <c r="J63" s="3675" t="s">
        <v>3269</v>
      </c>
      <c r="K63" s="3676" t="s">
        <v>3268</v>
      </c>
    </row>
    <row r="64" spans="1:11" ht="16.5">
      <c r="A64" s="3676">
        <v>56</v>
      </c>
      <c r="B64" s="3676" t="s">
        <v>3267</v>
      </c>
      <c r="C64" s="3675"/>
      <c r="D64" s="3675">
        <v>3.21</v>
      </c>
      <c r="E64" s="3675">
        <v>0</v>
      </c>
      <c r="F64" s="3675"/>
      <c r="G64" s="3675">
        <v>0</v>
      </c>
      <c r="H64" s="3675">
        <v>3.21</v>
      </c>
      <c r="I64" s="3675" t="s">
        <v>3266</v>
      </c>
      <c r="J64" s="3675" t="s">
        <v>3265</v>
      </c>
      <c r="K64" s="3675" t="s">
        <v>3264</v>
      </c>
    </row>
    <row r="65" spans="1:11" ht="16.5">
      <c r="A65" s="3674"/>
      <c r="B65" s="3673" t="s">
        <v>3263</v>
      </c>
      <c r="C65" s="3672"/>
      <c r="D65" s="3671">
        <v>1888.470971</v>
      </c>
      <c r="E65" s="3671">
        <v>1040.750522</v>
      </c>
      <c r="F65" s="3671">
        <v>253.15</v>
      </c>
      <c r="G65" s="3671">
        <v>649.20000000000005</v>
      </c>
      <c r="H65" s="3671">
        <v>847.72044900000003</v>
      </c>
      <c r="I65" s="3671"/>
      <c r="J65" s="3671"/>
      <c r="K65" s="3671"/>
    </row>
  </sheetData>
  <autoFilter ref="A3:H65"/>
  <mergeCells count="14">
    <mergeCell ref="B17:E17"/>
    <mergeCell ref="B23:E23"/>
    <mergeCell ref="B27:E27"/>
    <mergeCell ref="B28:E28"/>
    <mergeCell ref="A2:A3"/>
    <mergeCell ref="B2:B3"/>
    <mergeCell ref="C2:C3"/>
    <mergeCell ref="D2:D3"/>
    <mergeCell ref="E2:G2"/>
    <mergeCell ref="I2:K2"/>
    <mergeCell ref="L2:M2"/>
    <mergeCell ref="N2:O2"/>
    <mergeCell ref="B11:E11"/>
    <mergeCell ref="H2:H3"/>
  </mergeCells>
  <phoneticPr fontId="224"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34" zoomScaleNormal="100" zoomScaleSheetLayoutView="100" workbookViewId="0">
      <selection activeCell="C47" sqref="C47"/>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28" t="str">
        <f>IF(B10="北京市","北京市",C10)&amp;F10&amp;A17&amp;"国有建设用地使用权"&amp;B9&amp;"预评估"</f>
        <v>北京市出让国有建设用地使用权市场价格预评估</v>
      </c>
      <c r="C1" s="3729"/>
      <c r="D1" s="3729"/>
      <c r="E1" s="3729"/>
      <c r="F1" s="3729"/>
      <c r="G1" s="3729"/>
      <c r="H1" s="3729"/>
      <c r="I1" s="3730"/>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44994</v>
      </c>
      <c r="C3" s="2739" t="s">
        <v>1513</v>
      </c>
      <c r="D3" s="1465">
        <f>B3</f>
        <v>44994</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2744</v>
      </c>
      <c r="C8" s="1474"/>
      <c r="D8" s="3734"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3259</v>
      </c>
      <c r="C9" s="1477"/>
      <c r="D9" s="3735"/>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31"/>
      <c r="C12" s="3732"/>
      <c r="D12" s="3733"/>
      <c r="E12" s="1494" t="s">
        <v>1579</v>
      </c>
      <c r="F12" s="3749" t="s">
        <v>2163</v>
      </c>
      <c r="G12" s="3750"/>
      <c r="H12" s="3750"/>
      <c r="I12" s="3751"/>
      <c r="J12" s="2816"/>
      <c r="K12" s="2799"/>
      <c r="L12" s="2795"/>
      <c r="M12" s="2795"/>
      <c r="N12" s="2796"/>
      <c r="O12" s="2797"/>
      <c r="P12" s="2796"/>
      <c r="Q12" s="2796"/>
      <c r="R12" s="2796"/>
      <c r="S12" s="2796"/>
      <c r="T12" s="2796"/>
      <c r="U12" s="2796"/>
    </row>
    <row r="13" spans="1:21">
      <c r="A13" s="1485" t="s">
        <v>1577</v>
      </c>
      <c r="B13" s="3731"/>
      <c r="C13" s="3732"/>
      <c r="D13" s="3733"/>
      <c r="E13" s="1494" t="s">
        <v>1579</v>
      </c>
      <c r="F13" s="3749" t="s">
        <v>2164</v>
      </c>
      <c r="G13" s="3750"/>
      <c r="H13" s="3750"/>
      <c r="I13" s="3751"/>
      <c r="J13" s="2816"/>
      <c r="K13" s="2799"/>
      <c r="L13" s="2795"/>
      <c r="M13" s="2795"/>
      <c r="N13" s="2796"/>
      <c r="O13" s="2797"/>
      <c r="P13" s="2796"/>
      <c r="Q13" s="2796"/>
      <c r="R13" s="2796"/>
      <c r="S13" s="2796"/>
      <c r="T13" s="2796"/>
      <c r="U13" s="2796"/>
    </row>
    <row r="14" spans="1:21">
      <c r="A14" s="1464" t="s">
        <v>1580</v>
      </c>
      <c r="B14" s="1494"/>
      <c r="C14" s="1629" t="s">
        <v>3261</v>
      </c>
      <c r="D14" s="1527" t="str">
        <f>IF(C14="不一致","是否符合证载地类范围","")</f>
        <v/>
      </c>
      <c r="E14" s="1494"/>
      <c r="F14" s="1576" t="s">
        <v>3262</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商业2063年3月9日</v>
      </c>
      <c r="L16" s="1494" t="str">
        <f>IF(OR(K16="",M16=""),"","、")</f>
        <v>、</v>
      </c>
      <c r="M16" s="2108" t="str">
        <f>IF(E17="","",E16&amp;TEXT(E17,"yyyy年m月d日;;"))</f>
        <v>办公2073年3月9日</v>
      </c>
      <c r="N16" s="1494" t="str">
        <f>IF(OR(M16="",O16=""),"","、")</f>
        <v>、</v>
      </c>
      <c r="O16" s="2108" t="str">
        <f>IF(F17="","",F16&amp;TEXT(F17,"yyyy年m月d日;;"))</f>
        <v>车库2073年3月9日</v>
      </c>
      <c r="P16" s="1494" t="str">
        <f>IF(OR(O16="",Q16=""),"","、")</f>
        <v>、</v>
      </c>
      <c r="Q16" s="2108" t="str">
        <f>IF(G17="","",G16&amp;TEXT(G17,"yyyy年m月d日;;"))</f>
        <v>仓储2073年3月9日</v>
      </c>
      <c r="R16" s="1494" t="str">
        <f>IF(OR(Q16="",S16=""),"","、")</f>
        <v>、</v>
      </c>
      <c r="S16" s="2108" t="str">
        <f>IF(H17="","",H16&amp;TEXT(H17,"yyyy年m月d日;;"))</f>
        <v>工业2073年3月9日</v>
      </c>
      <c r="T16" s="1494" t="str">
        <f>IF(OR(S16="",U16=""),"","、")</f>
        <v>、</v>
      </c>
      <c r="U16" s="2108" t="str">
        <f>IF(I17="","",I16&amp;TEXT(I17,"yyyy年m月d日;;"))</f>
        <v>公共服务2073年3月9日</v>
      </c>
    </row>
    <row r="17" spans="1:21">
      <c r="A17" s="3336" t="s">
        <v>2744</v>
      </c>
      <c r="B17" s="2745" t="s">
        <v>1473</v>
      </c>
      <c r="C17" s="3335">
        <v>70562</v>
      </c>
      <c r="D17" s="3335">
        <v>59604</v>
      </c>
      <c r="E17" s="3335">
        <v>63257</v>
      </c>
      <c r="F17" s="3335">
        <f>E17</f>
        <v>63257</v>
      </c>
      <c r="G17" s="3335">
        <f>E17</f>
        <v>63257</v>
      </c>
      <c r="H17" s="3335">
        <f>G17</f>
        <v>63257</v>
      </c>
      <c r="I17" s="3335">
        <f>H17</f>
        <v>63257</v>
      </c>
      <c r="J17" s="2816"/>
      <c r="K17" s="2794" t="str">
        <f>CONCATENATE(K16,L16,M16,N16,O16,P16,Q16,R16,S16,T16,,U16)</f>
        <v>商业2063年3月9日、办公2073年3月9日、车库2073年3月9日、仓储2073年3月9日、工业2073年3月9日、公共服务2073年3月9日</v>
      </c>
      <c r="L17" s="2795"/>
      <c r="M17" s="2795"/>
      <c r="N17" s="2796"/>
      <c r="O17" s="2797"/>
      <c r="P17" s="2796"/>
      <c r="Q17" s="2796"/>
      <c r="R17" s="2796"/>
      <c r="S17" s="2796"/>
      <c r="T17" s="2796"/>
      <c r="U17" s="2796"/>
    </row>
    <row r="18" spans="1:21">
      <c r="A18" s="1552"/>
      <c r="B18" s="2745" t="s">
        <v>1474</v>
      </c>
      <c r="C18" s="1482">
        <v>70</v>
      </c>
      <c r="D18" s="1482">
        <v>40</v>
      </c>
      <c r="E18" s="1482">
        <v>50</v>
      </c>
      <c r="F18" s="1482">
        <v>50</v>
      </c>
      <c r="G18" s="1482">
        <v>50</v>
      </c>
      <c r="H18" s="1482">
        <v>50</v>
      </c>
      <c r="I18" s="1482">
        <v>50</v>
      </c>
      <c r="J18" s="2816"/>
      <c r="K18" s="2799"/>
      <c r="L18" s="2795"/>
      <c r="M18" s="2795"/>
      <c r="N18" s="2796"/>
      <c r="O18" s="2797"/>
      <c r="P18" s="2796"/>
      <c r="Q18" s="2796"/>
      <c r="R18" s="2796"/>
      <c r="S18" s="2796"/>
      <c r="T18" s="2796"/>
      <c r="U18" s="2796"/>
    </row>
    <row r="19" spans="1:21">
      <c r="A19" s="1552"/>
      <c r="B19" s="1463" t="s">
        <v>1475</v>
      </c>
      <c r="C19" s="1547">
        <f>IF(A17="出让",IF(C17="","",ROUNDDOWN(MIN((C17-$D$3)/365,C18),2)),C18)</f>
        <v>70</v>
      </c>
      <c r="D19" s="1547">
        <f>IF(A17="出让",IF(D17="","",ROUNDDOWN(MIN((D17-$D$3)/365,D18),2)),D18)</f>
        <v>40</v>
      </c>
      <c r="E19" s="1483">
        <f>IF(A17="出让",IF(E17="","",ROUNDDOWN(MIN((E17-$D$3)/365,E18),2)),E18)</f>
        <v>50</v>
      </c>
      <c r="F19" s="1483">
        <f>IF(A17="出让",IF(F17="","",ROUNDDOWN(MIN((F17-$D$3)/365,F18),2)),F18)</f>
        <v>50</v>
      </c>
      <c r="G19" s="1483">
        <f>IF(A17="出让",IF(G17="","",ROUNDDOWN(MIN((G17-$D$3)/365,G18),2)),G18)</f>
        <v>50</v>
      </c>
      <c r="H19" s="1483">
        <f>IF(A17="出让",IF(H17="","",ROUNDDOWN(MIN((H17-$D$3)/365,H18),2)),H18)</f>
        <v>50</v>
      </c>
      <c r="I19" s="1483">
        <f>IF(A17="出让",IF(I17="","",ROUNDDOWN(MIN((I17-$D$3)/365,I18),2)),I18)</f>
        <v>50</v>
      </c>
      <c r="J19" s="2816"/>
      <c r="K19" s="2799"/>
      <c r="L19" s="2795"/>
      <c r="M19" s="2795"/>
      <c r="N19" s="2796"/>
      <c r="O19" s="2797"/>
      <c r="P19" s="2796"/>
      <c r="Q19" s="2796"/>
      <c r="R19" s="2796"/>
      <c r="S19" s="2796"/>
      <c r="T19" s="2796"/>
      <c r="U19" s="2796"/>
    </row>
    <row r="20" spans="1:21">
      <c r="A20" s="1572"/>
      <c r="B20" s="1573"/>
      <c r="C20" s="1574" t="s">
        <v>1578</v>
      </c>
      <c r="D20" s="3746"/>
      <c r="E20" s="3747"/>
      <c r="F20" s="3747"/>
      <c r="G20" s="3747"/>
      <c r="H20" s="3747"/>
      <c r="I20" s="3748"/>
      <c r="J20" s="2816"/>
      <c r="K20" s="2799"/>
      <c r="L20" s="2795"/>
      <c r="M20" s="2795"/>
      <c r="N20" s="2796"/>
      <c r="O20" s="2797"/>
      <c r="P20" s="2796"/>
      <c r="Q20" s="2796"/>
      <c r="R20" s="2796"/>
      <c r="S20" s="2796"/>
      <c r="T20" s="2796"/>
      <c r="U20" s="2796"/>
    </row>
    <row r="21" spans="1:21">
      <c r="A21" s="1552" t="s">
        <v>1476</v>
      </c>
      <c r="B21" s="1553" t="s">
        <v>1477</v>
      </c>
      <c r="C21" s="1548">
        <f>'数据-汇总表'!E3</f>
        <v>371200</v>
      </c>
      <c r="D21" s="1549" t="s">
        <v>1478</v>
      </c>
      <c r="E21" s="3736" t="s">
        <v>1516</v>
      </c>
      <c r="F21" s="3737"/>
      <c r="G21" s="3737"/>
      <c r="H21" s="3737"/>
      <c r="I21" s="3738"/>
      <c r="J21" s="2816"/>
      <c r="K21" s="2799"/>
      <c r="L21" s="2795"/>
      <c r="M21" s="2795"/>
      <c r="N21" s="2796"/>
      <c r="O21" s="2797"/>
      <c r="P21" s="2796"/>
      <c r="Q21" s="2796"/>
      <c r="R21" s="2796"/>
      <c r="S21" s="2796"/>
      <c r="T21" s="2796"/>
      <c r="U21" s="2796"/>
    </row>
    <row r="22" spans="1:21">
      <c r="A22" s="2556" t="s">
        <v>877</v>
      </c>
      <c r="B22" s="1464" t="s">
        <v>1479</v>
      </c>
      <c r="C22" s="1484">
        <f>'数据-汇总表'!D3</f>
        <v>185600</v>
      </c>
      <c r="D22" s="1485" t="s">
        <v>1478</v>
      </c>
      <c r="E22" s="3736" t="s">
        <v>2165</v>
      </c>
      <c r="F22" s="3737"/>
      <c r="G22" s="3737"/>
      <c r="H22" s="3737"/>
      <c r="I22" s="3738"/>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39" t="s">
        <v>1484</v>
      </c>
      <c r="C24" s="3740"/>
      <c r="D24" s="3741" t="s">
        <v>1485</v>
      </c>
      <c r="E24" s="3742"/>
      <c r="F24" s="1502" t="s">
        <v>1486</v>
      </c>
      <c r="G24" s="2816"/>
      <c r="H24" s="2816"/>
      <c r="I24" s="2820"/>
      <c r="J24" s="2816"/>
      <c r="K24" s="372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2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2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54" t="s">
        <v>1519</v>
      </c>
      <c r="B31" s="1553" t="s">
        <v>1520</v>
      </c>
      <c r="C31" s="3752"/>
      <c r="D31" s="3753"/>
      <c r="E31" s="2816"/>
      <c r="F31" s="2816"/>
      <c r="G31" s="2816"/>
      <c r="H31" s="2816"/>
      <c r="I31" s="2820"/>
      <c r="J31" s="2816"/>
      <c r="K31" s="2802"/>
      <c r="L31" s="2796"/>
      <c r="M31" s="2796"/>
      <c r="N31" s="2796"/>
      <c r="O31" s="2796"/>
      <c r="P31" s="2796"/>
      <c r="Q31" s="2796"/>
      <c r="R31" s="2796"/>
      <c r="S31" s="2796"/>
      <c r="T31" s="2796"/>
      <c r="U31" s="2796"/>
    </row>
    <row r="32" spans="1:21">
      <c r="A32" s="3754"/>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4"/>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5"/>
      <c r="B34" s="1464" t="s">
        <v>1523</v>
      </c>
      <c r="C34" s="3756"/>
      <c r="D34" s="3757"/>
      <c r="E34" s="2816"/>
      <c r="F34" s="2816"/>
      <c r="G34" s="2816"/>
      <c r="H34" s="2816"/>
      <c r="I34" s="2820"/>
      <c r="J34" s="2816"/>
      <c r="K34" s="2802"/>
      <c r="L34" s="2796"/>
      <c r="M34" s="2796"/>
      <c r="N34" s="2796"/>
      <c r="O34" s="2796"/>
      <c r="P34" s="2796"/>
      <c r="Q34" s="2796"/>
      <c r="R34" s="2796"/>
      <c r="S34" s="2796"/>
      <c r="T34" s="2796"/>
      <c r="U34" s="2796"/>
    </row>
    <row r="35" spans="1:28">
      <c r="A35" s="3758" t="s">
        <v>785</v>
      </c>
      <c r="B35" s="1516"/>
      <c r="C35" s="1562" t="str">
        <f>IF(B35="场地平整","——","具体情况：")</f>
        <v>具体情况：</v>
      </c>
      <c r="D35" s="3760"/>
      <c r="E35" s="3761"/>
      <c r="F35" s="3761"/>
      <c r="G35" s="3761"/>
      <c r="H35" s="3761"/>
      <c r="I35" s="3762"/>
      <c r="J35" s="2816"/>
      <c r="K35" s="2803"/>
      <c r="L35" s="2795"/>
      <c r="M35" s="2795"/>
      <c r="N35" s="2796"/>
      <c r="O35" s="2797"/>
      <c r="P35" s="2796"/>
      <c r="Q35" s="2796"/>
      <c r="R35" s="2796"/>
      <c r="S35" s="2796"/>
      <c r="T35" s="2796"/>
      <c r="U35" s="2796"/>
    </row>
    <row r="36" spans="1:28">
      <c r="A36" s="3754"/>
      <c r="B36" s="3763" t="s">
        <v>1572</v>
      </c>
      <c r="C36" s="3764"/>
      <c r="D36" s="1578"/>
      <c r="E36" s="3765"/>
      <c r="F36" s="3765"/>
      <c r="G36" s="1485" t="str">
        <f>IF(B35="场地未平整","估价结果处理","")</f>
        <v/>
      </c>
      <c r="H36" s="3766"/>
      <c r="I36" s="3766"/>
      <c r="J36" s="2816"/>
      <c r="K36" s="2803"/>
      <c r="L36" s="2795"/>
      <c r="M36" s="2795"/>
      <c r="N36" s="2796"/>
      <c r="O36" s="2797"/>
      <c r="P36" s="2796"/>
      <c r="Q36" s="2796"/>
      <c r="R36" s="2796"/>
      <c r="S36" s="2796"/>
      <c r="T36" s="2796"/>
      <c r="U36" s="2796"/>
    </row>
    <row r="37" spans="1:28" ht="28.5">
      <c r="A37" s="3754"/>
      <c r="B37" s="374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4"/>
      <c r="B38" s="3744"/>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55"/>
      <c r="B39" s="3745"/>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26" t="s">
        <v>1503</v>
      </c>
      <c r="T40" s="1525" t="str">
        <f>NUMBERSTRING(7-K40,1)&amp;"通"</f>
        <v>七通</v>
      </c>
      <c r="U40" s="2796"/>
    </row>
    <row r="41" spans="1:28">
      <c r="A41" s="1466"/>
      <c r="B41" s="3759" t="s">
        <v>1250</v>
      </c>
      <c r="C41" s="3759"/>
      <c r="D41" s="3759"/>
      <c r="E41" s="3759"/>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6"/>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t="s">
        <v>1157</v>
      </c>
      <c r="C43" s="1531"/>
      <c r="D43" s="1531" t="s">
        <v>1156</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1030</v>
      </c>
      <c r="C44" s="1531"/>
      <c r="D44" s="1531" t="s">
        <v>1090</v>
      </c>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K13/2</f>
        <v>185600</v>
      </c>
      <c r="B3" s="20">
        <f>IF(C3="否",G5-AT5,G5)</f>
        <v>371200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371200</v>
      </c>
      <c r="H5" s="25">
        <f t="shared" ref="H5:AT5" si="0">SUM(H13:H641)</f>
        <v>371200</v>
      </c>
      <c r="I5" s="25">
        <f t="shared" si="0"/>
        <v>0</v>
      </c>
      <c r="J5" s="25">
        <f t="shared" si="0"/>
        <v>0</v>
      </c>
      <c r="K5" s="25">
        <f>SUM(K13:K641)</f>
        <v>371200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371200</v>
      </c>
      <c r="BA5" s="27">
        <f t="shared" si="1"/>
        <v>371200</v>
      </c>
      <c r="BB5" s="27">
        <f t="shared" si="1"/>
        <v>0</v>
      </c>
      <c r="BC5" s="27">
        <f t="shared" si="1"/>
        <v>371200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185600</v>
      </c>
      <c r="F6" s="25" t="s">
        <v>0</v>
      </c>
      <c r="G6" s="25" t="s">
        <v>1</v>
      </c>
      <c r="H6" s="31">
        <f>SUMIF(I$12:AB$12,"总值",I6:AB6)</f>
        <v>185600</v>
      </c>
      <c r="I6" s="25">
        <f t="shared" ref="I6:AB6" si="2">ROUND($A$3*I5/$B$3,2)</f>
        <v>0</v>
      </c>
      <c r="J6" s="25">
        <f t="shared" si="2"/>
        <v>0</v>
      </c>
      <c r="K6" s="25">
        <f t="shared" si="2"/>
        <v>185600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185600</v>
      </c>
      <c r="AZ6" s="25" t="s">
        <v>2</v>
      </c>
      <c r="BA6" s="25">
        <f>ROUND($AY$6*BA5/$AZ$5,2)</f>
        <v>185600</v>
      </c>
      <c r="BB6" s="25">
        <f>ROUND($AY$6*BB5/$AZ$5,2)</f>
        <v>0</v>
      </c>
      <c r="BC6" s="25">
        <f t="shared" ref="BC6:BH6" si="4">ROUND($AY$6*BC5/$AZ$5,2)</f>
        <v>185600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3373</v>
      </c>
      <c r="J9" s="49"/>
      <c r="K9" s="2491" t="s">
        <v>3373</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2741</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3374</v>
      </c>
      <c r="E13" s="25">
        <f t="shared" ref="E13:E20" si="6">IF($C$3="是",ROUND($A$3*G13/$B$3,2),ROUND($A$3*(G13-AT13)/$B$3,2))</f>
        <v>185600</v>
      </c>
      <c r="F13" s="78"/>
      <c r="G13" s="79">
        <f t="shared" ref="G13:G20" si="7">H13+AC13+AT13</f>
        <v>371200</v>
      </c>
      <c r="H13" s="31">
        <f t="shared" ref="H13:H20" si="8">SUMIF(I$12:AB$12,"总值",I13:AB13)</f>
        <v>371200</v>
      </c>
      <c r="I13" s="2490"/>
      <c r="J13" s="2490"/>
      <c r="K13" s="2490">
        <v>371200</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185600</v>
      </c>
      <c r="AZ13" s="25">
        <f t="shared" ref="AZ13:AZ20" si="12">BA13+BL13</f>
        <v>371200</v>
      </c>
      <c r="BA13" s="25">
        <f t="shared" ref="BA13:BA20" si="13">SUM(BB13:BK13)</f>
        <v>371200</v>
      </c>
      <c r="BB13" s="25">
        <f t="shared" ref="BB13:BB20" si="14">IF($D13="是",I13-J13,0)</f>
        <v>0</v>
      </c>
      <c r="BC13" s="25">
        <f>IF($D13="是",K13-L13,0)</f>
        <v>371200</v>
      </c>
      <c r="BD13" s="25">
        <f t="shared" ref="BD13:BD20" si="15">IF($D13="是",M13-N13,0)</f>
        <v>0</v>
      </c>
      <c r="BE13" s="25">
        <f t="shared" ref="BE13:BE20" si="16">IF($D13="是",O13-P13,0)</f>
        <v>0</v>
      </c>
      <c r="BF13" s="25">
        <f t="shared" ref="BF13:BF20" si="17">IF($D13="是",Q13-R13,0)</f>
        <v>0</v>
      </c>
      <c r="BG13" s="25">
        <f t="shared" ref="BG13:BG20" si="18">IF($D13="是",S13-T13,0)</f>
        <v>0</v>
      </c>
      <c r="BH13" s="25">
        <f t="shared" ref="BH13:BH20" si="19">IF($D13="是",U13-V13,0)</f>
        <v>0</v>
      </c>
      <c r="BI13" s="25">
        <f t="shared" ref="BI13:BI20" si="20">IF($D13="是",W13-X13,0)</f>
        <v>0</v>
      </c>
      <c r="BJ13" s="25">
        <f t="shared" ref="BJ13:BJ20" si="21">IF($D13="是",Y13-Z13,0)</f>
        <v>0</v>
      </c>
      <c r="BK13" s="25">
        <f t="shared" ref="BK13:BK20" si="22">IF($D13="是",AA13-AB13,0)</f>
        <v>0</v>
      </c>
      <c r="BL13" s="25">
        <f t="shared" ref="BL13:BL20" si="23">SUM(BM13:BT13)</f>
        <v>0</v>
      </c>
      <c r="BM13" s="25">
        <f t="shared" ref="BM13:BM20" si="24">IF($D13="是",AD13-AE13,0)</f>
        <v>0</v>
      </c>
      <c r="BN13" s="25">
        <f t="shared" ref="BN13:BN20" si="25">IF($D13="是",AF13-AG13,0)</f>
        <v>0</v>
      </c>
      <c r="BO13" s="25">
        <f t="shared" ref="BO13:BO20" si="26">IF($D13="是",AH13-AI13,0)</f>
        <v>0</v>
      </c>
      <c r="BP13" s="25">
        <f t="shared" ref="BP13:BP20" si="27">IF($D13="是",AJ13-AK13,0)</f>
        <v>0</v>
      </c>
      <c r="BQ13" s="25">
        <f t="shared" ref="BQ13:BQ20" si="28">IF($D13="是",AL13-AM13,0)</f>
        <v>0</v>
      </c>
      <c r="BR13" s="25">
        <f t="shared" ref="BR13:BR20" si="29">IF($D13="是",AN13-AO13,0)</f>
        <v>0</v>
      </c>
      <c r="BS13" s="25">
        <f t="shared" ref="BS13:BS20" si="30">IF($D13="是",AP13-AQ13,0)</f>
        <v>0</v>
      </c>
      <c r="BT13" s="34">
        <f t="shared" ref="BT13:BT20" si="31">IF($D13="是",AR13-AS13,0)</f>
        <v>0</v>
      </c>
    </row>
    <row r="14" spans="1:72" s="16" customFormat="1" ht="12.75">
      <c r="A14" s="2487"/>
      <c r="B14" s="2487"/>
      <c r="C14" s="2489"/>
      <c r="D14" s="2488" t="s">
        <v>3374</v>
      </c>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IF($D14="是",K14-L14,0)</f>
        <v>0</v>
      </c>
      <c r="BD14" s="25">
        <f t="shared" si="15"/>
        <v>0</v>
      </c>
      <c r="BE14" s="25">
        <f t="shared" si="16"/>
        <v>0</v>
      </c>
      <c r="BF14" s="25">
        <f t="shared" si="17"/>
        <v>0</v>
      </c>
      <c r="BG14" s="25">
        <f t="shared" si="18"/>
        <v>0</v>
      </c>
      <c r="BH14" s="25">
        <f t="shared" si="19"/>
        <v>0</v>
      </c>
      <c r="BI14" s="25">
        <f t="shared" si="20"/>
        <v>0</v>
      </c>
      <c r="BJ14" s="25">
        <f t="shared" si="21"/>
        <v>0</v>
      </c>
      <c r="BK14" s="25">
        <f t="shared" si="22"/>
        <v>0</v>
      </c>
      <c r="BL14" s="25">
        <f t="shared" si="23"/>
        <v>0</v>
      </c>
      <c r="BM14" s="25">
        <f t="shared" si="24"/>
        <v>0</v>
      </c>
      <c r="BN14" s="25">
        <f t="shared" si="25"/>
        <v>0</v>
      </c>
      <c r="BO14" s="25">
        <f t="shared" si="26"/>
        <v>0</v>
      </c>
      <c r="BP14" s="25">
        <f t="shared" si="27"/>
        <v>0</v>
      </c>
      <c r="BQ14" s="25">
        <f t="shared" si="28"/>
        <v>0</v>
      </c>
      <c r="BR14" s="25">
        <f t="shared" si="29"/>
        <v>0</v>
      </c>
      <c r="BS14" s="25">
        <f t="shared" si="30"/>
        <v>0</v>
      </c>
      <c r="BT14" s="34">
        <f t="shared" si="31"/>
        <v>0</v>
      </c>
    </row>
    <row r="15" spans="1:72" s="16" customFormat="1" ht="12.75">
      <c r="A15" s="2487"/>
      <c r="B15" s="2487"/>
      <c r="C15" s="2489"/>
      <c r="D15" s="2488" t="s">
        <v>3374</v>
      </c>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ref="BC15:BC20" si="32">IF($D15="是",K15-L15,0)</f>
        <v>0</v>
      </c>
      <c r="BD15" s="25">
        <f t="shared" si="15"/>
        <v>0</v>
      </c>
      <c r="BE15" s="25">
        <f t="shared" si="16"/>
        <v>0</v>
      </c>
      <c r="BF15" s="25">
        <f t="shared" si="17"/>
        <v>0</v>
      </c>
      <c r="BG15" s="25">
        <f t="shared" si="18"/>
        <v>0</v>
      </c>
      <c r="BH15" s="25">
        <f t="shared" si="19"/>
        <v>0</v>
      </c>
      <c r="BI15" s="25">
        <f t="shared" si="20"/>
        <v>0</v>
      </c>
      <c r="BJ15" s="25">
        <f t="shared" si="21"/>
        <v>0</v>
      </c>
      <c r="BK15" s="25">
        <f t="shared" si="22"/>
        <v>0</v>
      </c>
      <c r="BL15" s="25">
        <f t="shared" si="23"/>
        <v>0</v>
      </c>
      <c r="BM15" s="25">
        <f t="shared" si="24"/>
        <v>0</v>
      </c>
      <c r="BN15" s="25">
        <f t="shared" si="25"/>
        <v>0</v>
      </c>
      <c r="BO15" s="25">
        <f t="shared" si="26"/>
        <v>0</v>
      </c>
      <c r="BP15" s="25">
        <f t="shared" si="27"/>
        <v>0</v>
      </c>
      <c r="BQ15" s="25">
        <f t="shared" si="28"/>
        <v>0</v>
      </c>
      <c r="BR15" s="25">
        <f t="shared" si="29"/>
        <v>0</v>
      </c>
      <c r="BS15" s="25">
        <f t="shared" si="30"/>
        <v>0</v>
      </c>
      <c r="BT15" s="34">
        <f t="shared" si="31"/>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32"/>
        <v>0</v>
      </c>
      <c r="BD16" s="25">
        <f t="shared" si="15"/>
        <v>0</v>
      </c>
      <c r="BE16" s="25">
        <f t="shared" si="16"/>
        <v>0</v>
      </c>
      <c r="BF16" s="25">
        <f t="shared" si="17"/>
        <v>0</v>
      </c>
      <c r="BG16" s="25">
        <f t="shared" si="18"/>
        <v>0</v>
      </c>
      <c r="BH16" s="25">
        <f t="shared" si="19"/>
        <v>0</v>
      </c>
      <c r="BI16" s="25">
        <f t="shared" si="20"/>
        <v>0</v>
      </c>
      <c r="BJ16" s="25">
        <f t="shared" si="21"/>
        <v>0</v>
      </c>
      <c r="BK16" s="25">
        <f t="shared" si="22"/>
        <v>0</v>
      </c>
      <c r="BL16" s="25">
        <f t="shared" si="23"/>
        <v>0</v>
      </c>
      <c r="BM16" s="25">
        <f t="shared" si="24"/>
        <v>0</v>
      </c>
      <c r="BN16" s="25">
        <f t="shared" si="25"/>
        <v>0</v>
      </c>
      <c r="BO16" s="25">
        <f t="shared" si="26"/>
        <v>0</v>
      </c>
      <c r="BP16" s="25">
        <f t="shared" si="27"/>
        <v>0</v>
      </c>
      <c r="BQ16" s="25">
        <f t="shared" si="28"/>
        <v>0</v>
      </c>
      <c r="BR16" s="25">
        <f t="shared" si="29"/>
        <v>0</v>
      </c>
      <c r="BS16" s="25">
        <f t="shared" si="30"/>
        <v>0</v>
      </c>
      <c r="BT16" s="34">
        <f t="shared" si="31"/>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32"/>
        <v>0</v>
      </c>
      <c r="BD17" s="25">
        <f t="shared" si="15"/>
        <v>0</v>
      </c>
      <c r="BE17" s="25">
        <f t="shared" si="16"/>
        <v>0</v>
      </c>
      <c r="BF17" s="25">
        <f t="shared" si="17"/>
        <v>0</v>
      </c>
      <c r="BG17" s="25">
        <f t="shared" si="18"/>
        <v>0</v>
      </c>
      <c r="BH17" s="25">
        <f t="shared" si="19"/>
        <v>0</v>
      </c>
      <c r="BI17" s="25">
        <f t="shared" si="20"/>
        <v>0</v>
      </c>
      <c r="BJ17" s="25">
        <f t="shared" si="21"/>
        <v>0</v>
      </c>
      <c r="BK17" s="25">
        <f t="shared" si="22"/>
        <v>0</v>
      </c>
      <c r="BL17" s="25">
        <f t="shared" si="23"/>
        <v>0</v>
      </c>
      <c r="BM17" s="25">
        <f t="shared" si="24"/>
        <v>0</v>
      </c>
      <c r="BN17" s="25">
        <f t="shared" si="25"/>
        <v>0</v>
      </c>
      <c r="BO17" s="25">
        <f t="shared" si="26"/>
        <v>0</v>
      </c>
      <c r="BP17" s="25">
        <f t="shared" si="27"/>
        <v>0</v>
      </c>
      <c r="BQ17" s="25">
        <f t="shared" si="28"/>
        <v>0</v>
      </c>
      <c r="BR17" s="25">
        <f t="shared" si="29"/>
        <v>0</v>
      </c>
      <c r="BS17" s="25">
        <f t="shared" si="30"/>
        <v>0</v>
      </c>
      <c r="BT17" s="34">
        <f t="shared" si="31"/>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32"/>
        <v>0</v>
      </c>
      <c r="BD18" s="83">
        <f t="shared" si="15"/>
        <v>0</v>
      </c>
      <c r="BE18" s="83">
        <f t="shared" si="16"/>
        <v>0</v>
      </c>
      <c r="BF18" s="83">
        <f t="shared" si="17"/>
        <v>0</v>
      </c>
      <c r="BG18" s="83">
        <f t="shared" si="18"/>
        <v>0</v>
      </c>
      <c r="BH18" s="83">
        <f t="shared" si="19"/>
        <v>0</v>
      </c>
      <c r="BI18" s="83">
        <f t="shared" si="20"/>
        <v>0</v>
      </c>
      <c r="BJ18" s="83">
        <f t="shared" si="21"/>
        <v>0</v>
      </c>
      <c r="BK18" s="83">
        <f t="shared" si="22"/>
        <v>0</v>
      </c>
      <c r="BL18" s="83">
        <f t="shared" si="23"/>
        <v>0</v>
      </c>
      <c r="BM18" s="83">
        <f t="shared" si="24"/>
        <v>0</v>
      </c>
      <c r="BN18" s="83">
        <f t="shared" si="25"/>
        <v>0</v>
      </c>
      <c r="BO18" s="83">
        <f t="shared" si="26"/>
        <v>0</v>
      </c>
      <c r="BP18" s="83">
        <f t="shared" si="27"/>
        <v>0</v>
      </c>
      <c r="BQ18" s="83">
        <f t="shared" si="28"/>
        <v>0</v>
      </c>
      <c r="BR18" s="83">
        <f t="shared" si="29"/>
        <v>0</v>
      </c>
      <c r="BS18" s="83">
        <f t="shared" si="30"/>
        <v>0</v>
      </c>
      <c r="BT18" s="92">
        <f t="shared" si="31"/>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32"/>
        <v>0</v>
      </c>
      <c r="BD19" s="83">
        <f t="shared" si="15"/>
        <v>0</v>
      </c>
      <c r="BE19" s="83">
        <f t="shared" si="16"/>
        <v>0</v>
      </c>
      <c r="BF19" s="83">
        <f t="shared" si="17"/>
        <v>0</v>
      </c>
      <c r="BG19" s="83">
        <f t="shared" si="18"/>
        <v>0</v>
      </c>
      <c r="BH19" s="83">
        <f t="shared" si="19"/>
        <v>0</v>
      </c>
      <c r="BI19" s="83">
        <f t="shared" si="20"/>
        <v>0</v>
      </c>
      <c r="BJ19" s="83">
        <f t="shared" si="21"/>
        <v>0</v>
      </c>
      <c r="BK19" s="83">
        <f t="shared" si="22"/>
        <v>0</v>
      </c>
      <c r="BL19" s="83">
        <f t="shared" si="23"/>
        <v>0</v>
      </c>
      <c r="BM19" s="83">
        <f t="shared" si="24"/>
        <v>0</v>
      </c>
      <c r="BN19" s="83">
        <f t="shared" si="25"/>
        <v>0</v>
      </c>
      <c r="BO19" s="83">
        <f t="shared" si="26"/>
        <v>0</v>
      </c>
      <c r="BP19" s="83">
        <f t="shared" si="27"/>
        <v>0</v>
      </c>
      <c r="BQ19" s="83">
        <f t="shared" si="28"/>
        <v>0</v>
      </c>
      <c r="BR19" s="83">
        <f t="shared" si="29"/>
        <v>0</v>
      </c>
      <c r="BS19" s="83">
        <f t="shared" si="30"/>
        <v>0</v>
      </c>
      <c r="BT19" s="92">
        <f t="shared" si="31"/>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32"/>
        <v>0</v>
      </c>
      <c r="BD20" s="83">
        <f t="shared" si="15"/>
        <v>0</v>
      </c>
      <c r="BE20" s="83">
        <f t="shared" si="16"/>
        <v>0</v>
      </c>
      <c r="BF20" s="83">
        <f t="shared" si="17"/>
        <v>0</v>
      </c>
      <c r="BG20" s="83">
        <f t="shared" si="18"/>
        <v>0</v>
      </c>
      <c r="BH20" s="83">
        <f t="shared" si="19"/>
        <v>0</v>
      </c>
      <c r="BI20" s="83">
        <f t="shared" si="20"/>
        <v>0</v>
      </c>
      <c r="BJ20" s="83">
        <f t="shared" si="21"/>
        <v>0</v>
      </c>
      <c r="BK20" s="83">
        <f t="shared" si="22"/>
        <v>0</v>
      </c>
      <c r="BL20" s="83">
        <f t="shared" si="23"/>
        <v>0</v>
      </c>
      <c r="BM20" s="83">
        <f t="shared" si="24"/>
        <v>0</v>
      </c>
      <c r="BN20" s="83">
        <f t="shared" si="25"/>
        <v>0</v>
      </c>
      <c r="BO20" s="83">
        <f t="shared" si="26"/>
        <v>0</v>
      </c>
      <c r="BP20" s="83">
        <f t="shared" si="27"/>
        <v>0</v>
      </c>
      <c r="BQ20" s="83">
        <f t="shared" si="28"/>
        <v>0</v>
      </c>
      <c r="BR20" s="83">
        <f t="shared" si="29"/>
        <v>0</v>
      </c>
      <c r="BS20" s="83">
        <f t="shared" si="30"/>
        <v>0</v>
      </c>
      <c r="BT20" s="92">
        <f t="shared" si="31"/>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76" t="s">
        <v>169</v>
      </c>
      <c r="B2" s="3776"/>
      <c r="C2" s="3776"/>
      <c r="D2" s="1729" t="s">
        <v>170</v>
      </c>
      <c r="E2" s="102" t="s">
        <v>171</v>
      </c>
      <c r="F2" s="2825"/>
      <c r="G2" s="1096"/>
      <c r="H2" s="1097"/>
      <c r="I2" s="1098" t="s">
        <v>795</v>
      </c>
      <c r="J2" s="2825"/>
      <c r="K2" s="2825"/>
      <c r="L2" s="2825"/>
      <c r="M2" s="2825"/>
      <c r="N2" s="2825"/>
      <c r="O2" s="2825"/>
      <c r="P2" s="2825"/>
    </row>
    <row r="3" spans="1:16" ht="15.75" thickBot="1">
      <c r="A3" s="3777" t="s">
        <v>172</v>
      </c>
      <c r="B3" s="3777"/>
      <c r="C3" s="3777"/>
      <c r="D3" s="103">
        <f>'数据-基础表'!AY6</f>
        <v>185600</v>
      </c>
      <c r="E3" s="103">
        <f>'数据-基础表'!AZ5</f>
        <v>371200</v>
      </c>
      <c r="F3" s="2825"/>
      <c r="G3" s="271" t="s">
        <v>796</v>
      </c>
      <c r="H3" s="266" t="s">
        <v>797</v>
      </c>
      <c r="I3" s="1730">
        <f>ROUND('数据-基础表'!B3/'数据-基础表'!A3,2)</f>
        <v>2</v>
      </c>
      <c r="J3" s="2825"/>
      <c r="K3" s="2825"/>
      <c r="L3" s="2825"/>
      <c r="M3" s="2825"/>
      <c r="N3" s="2825"/>
      <c r="O3" s="2825"/>
      <c r="P3" s="2825"/>
    </row>
    <row r="4" spans="1:16" ht="15">
      <c r="A4" s="3778"/>
      <c r="B4" s="3779"/>
      <c r="C4" s="3780"/>
      <c r="D4" s="104" t="s">
        <v>170</v>
      </c>
      <c r="E4" s="105" t="s">
        <v>171</v>
      </c>
      <c r="F4" s="2825"/>
      <c r="G4" s="1099"/>
      <c r="H4" s="266" t="s">
        <v>798</v>
      </c>
      <c r="I4" s="1730">
        <f>ROUND(SUMIF('数据-基础表'!I9:AS9,"地上",'数据-基础表'!I5:AS5)/'数据-基础表'!A3,2)</f>
        <v>2</v>
      </c>
      <c r="J4" s="2825"/>
      <c r="K4" s="2825"/>
      <c r="L4" s="2825"/>
      <c r="M4" s="2825"/>
      <c r="N4" s="2825"/>
      <c r="O4" s="2825"/>
      <c r="P4" s="2825"/>
    </row>
    <row r="5" spans="1:16">
      <c r="A5" s="106" t="s">
        <v>173</v>
      </c>
      <c r="B5" s="3781" t="s">
        <v>196</v>
      </c>
      <c r="C5" s="3781"/>
      <c r="D5" s="107">
        <f>ROUND($D$3*E5/$E$3,2)</f>
        <v>0</v>
      </c>
      <c r="E5" s="108">
        <f>SUMIF('数据-基础表'!$11:$11,"住宅",'数据-基础表'!$5:$5)</f>
        <v>0</v>
      </c>
      <c r="F5" s="2825"/>
      <c r="G5" s="271" t="s">
        <v>799</v>
      </c>
      <c r="H5" s="266" t="s">
        <v>797</v>
      </c>
      <c r="I5" s="1730">
        <f>ROUND(E31/D31,2)</f>
        <v>2</v>
      </c>
      <c r="J5" s="2825"/>
      <c r="K5" s="2825"/>
      <c r="L5" s="2825"/>
      <c r="M5" s="2825"/>
      <c r="N5" s="2825"/>
      <c r="O5" s="2825"/>
      <c r="P5" s="2825"/>
    </row>
    <row r="6" spans="1:16" ht="15" thickBot="1">
      <c r="A6" s="109"/>
      <c r="B6" s="3781" t="s">
        <v>174</v>
      </c>
      <c r="C6" s="3781"/>
      <c r="D6" s="107">
        <f>ROUND($D$3*E6/$E$3,2)</f>
        <v>185600</v>
      </c>
      <c r="E6" s="108">
        <f>E3-E5</f>
        <v>371200</v>
      </c>
      <c r="F6" s="2825"/>
      <c r="G6" s="1099"/>
      <c r="H6" s="266" t="s">
        <v>798</v>
      </c>
      <c r="I6" s="1730">
        <f>ROUND(F31/D31,2)</f>
        <v>2</v>
      </c>
      <c r="J6" s="2825"/>
      <c r="K6" s="2825"/>
      <c r="L6" s="2825"/>
      <c r="M6" s="2825"/>
      <c r="N6" s="2825"/>
      <c r="O6" s="2825"/>
      <c r="P6" s="2825"/>
    </row>
    <row r="7" spans="1:16" ht="15">
      <c r="A7" s="3773"/>
      <c r="B7" s="3774"/>
      <c r="C7" s="3775"/>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185600</v>
      </c>
      <c r="E8" s="112">
        <f>SUMIF('数据-基础表'!BB10:BK10,"地上",'数据-基础表'!BB5:BK5)</f>
        <v>371200</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185600</v>
      </c>
      <c r="E16" s="116">
        <f>SUM(E8:E15)</f>
        <v>371200</v>
      </c>
      <c r="F16" s="2825"/>
      <c r="G16" s="2826"/>
      <c r="H16" s="930" t="s">
        <v>185</v>
      </c>
      <c r="I16" s="931"/>
      <c r="J16" s="1738"/>
      <c r="K16" s="3767" t="s">
        <v>1849</v>
      </c>
      <c r="L16" s="3768"/>
      <c r="M16" s="3768"/>
      <c r="N16" s="3768"/>
      <c r="O16" s="3768"/>
      <c r="P16" s="3769"/>
    </row>
    <row r="17" spans="1:19" ht="15">
      <c r="A17" s="117" t="s">
        <v>182</v>
      </c>
      <c r="B17" s="118" t="s">
        <v>183</v>
      </c>
      <c r="C17" s="2016" t="s">
        <v>1670</v>
      </c>
      <c r="D17" s="104" t="s">
        <v>170</v>
      </c>
      <c r="E17" s="120" t="s">
        <v>171</v>
      </c>
      <c r="F17" s="121"/>
      <c r="G17" s="1225"/>
      <c r="H17" s="932" t="s">
        <v>184</v>
      </c>
      <c r="I17" s="933" t="s">
        <v>1669</v>
      </c>
      <c r="J17" s="1738"/>
      <c r="K17" s="3770" t="s">
        <v>1850</v>
      </c>
      <c r="L17" s="3771"/>
      <c r="M17" s="3772"/>
      <c r="N17" s="3770" t="s">
        <v>1851</v>
      </c>
      <c r="O17" s="3771"/>
      <c r="P17" s="3772"/>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3375</v>
      </c>
      <c r="D19" s="107">
        <f t="shared" ref="D19:D26" si="1">ROUND($D$3*E19/$E$3,2)</f>
        <v>0</v>
      </c>
      <c r="E19" s="130">
        <f t="shared" ref="E19:E26" si="2">SUM(F19:G19)</f>
        <v>0</v>
      </c>
      <c r="F19" s="2827">
        <f>'数据-基础表'!I13</f>
        <v>0</v>
      </c>
      <c r="G19" s="2828"/>
      <c r="H19" s="936" t="e">
        <f>ROUND($D$3*I19/$E$3,2)</f>
        <v>#DIV/0!</v>
      </c>
      <c r="I19" s="112" t="e">
        <f>IF($I$17="自定义",P19,M19)</f>
        <v>#DIV/0!</v>
      </c>
      <c r="J19" s="1738"/>
      <c r="K19" s="2215">
        <f t="shared" ref="K19:K26" si="3">ROUND(E$28*E19/E$27,2)</f>
        <v>0</v>
      </c>
      <c r="L19" s="266" t="e">
        <f t="shared" ref="L19:L26" si="4">ROUND(IF(COUNTIF(C19,"*住宅*")&gt;0,E$29*E19/E$32,0),2)</f>
        <v>#DIV/0!</v>
      </c>
      <c r="M19" s="2216" t="e">
        <f>K19+L19</f>
        <v>#DIV/0!</v>
      </c>
      <c r="N19" s="2217"/>
      <c r="O19" s="2218"/>
      <c r="P19" s="2219">
        <f>N19+O19</f>
        <v>0</v>
      </c>
      <c r="R19" s="266" t="e">
        <f t="shared" ref="R19:S26" si="5">D19+H19</f>
        <v>#DIV/0!</v>
      </c>
      <c r="S19" s="2019" t="e">
        <f t="shared" si="5"/>
        <v>#DIV/0!</v>
      </c>
    </row>
    <row r="20" spans="1:19">
      <c r="A20" s="133"/>
      <c r="B20" s="111" t="s">
        <v>192</v>
      </c>
      <c r="C20" s="2497" t="s">
        <v>3376</v>
      </c>
      <c r="D20" s="107">
        <f t="shared" si="1"/>
        <v>185600</v>
      </c>
      <c r="E20" s="130">
        <f t="shared" si="2"/>
        <v>371200</v>
      </c>
      <c r="F20" s="2827">
        <f>'数据-基础表'!K13</f>
        <v>371200</v>
      </c>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185600</v>
      </c>
      <c r="S20" s="2019">
        <f t="shared" si="5"/>
        <v>371200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185600</v>
      </c>
      <c r="E27" s="136">
        <f>IF(SUM(E19:E26)='数据-基础表'!BA5,SUM(E19:E26),IF(F27="地上面积有误","面积有误","地下面积有误"))</f>
        <v>371200</v>
      </c>
      <c r="F27" s="130">
        <f>IF(SUM(F19:F26)=E8,SUM(F19:F26),"地上面积有误")</f>
        <v>371200</v>
      </c>
      <c r="G27" s="108">
        <f>SUM(G19:G26)</f>
        <v>0</v>
      </c>
      <c r="H27" s="937" t="e">
        <f>SUM(H19:H26)</f>
        <v>#DIV/0!</v>
      </c>
      <c r="I27" s="938" t="e">
        <f>SUM(I19:I26)</f>
        <v>#DIV/0!</v>
      </c>
      <c r="J27" s="1738"/>
      <c r="K27" s="2224">
        <f t="shared" ref="K27:P27" si="10">SUM(K19:K26)</f>
        <v>0</v>
      </c>
      <c r="L27" s="2225" t="e">
        <f t="shared" si="10"/>
        <v>#DIV/0!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185600</v>
      </c>
      <c r="E31" s="1229">
        <f>E27+E30</f>
        <v>371200</v>
      </c>
      <c r="F31" s="1230">
        <f>F27+F30</f>
        <v>371200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8" zoomScaleNormal="98" workbookViewId="0">
      <pane xSplit="3" ySplit="5" topLeftCell="D6" activePane="bottomRight" state="frozen"/>
      <selection pane="topRight" activeCell="D1" sqref="D1"/>
      <selection pane="bottomLeft" activeCell="A4" sqref="A4"/>
      <selection pane="bottomRight" activeCell="F15" sqref="F15"/>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44994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70562</v>
      </c>
      <c r="F6" s="167">
        <f>SUMIF(项目基本情况!C$15:I$15,C6,项目基本情况!C$19:I$19)</f>
        <v>70</v>
      </c>
      <c r="G6" s="168">
        <f t="shared" ref="G6:G13" si="0">IF(ISERROR(ROUND(POWER(1+H6,D6-F6)*(POWER(1+H6,F6)-1)/(POWER(1+H6,D6)-1),3)),0,ROUND(POWER(1+H6,D6-F6)*(POWER(1+H6,F6)-1)/(POWER(1+H6,D6)-1),3))</f>
        <v>1</v>
      </c>
      <c r="H6" s="3685">
        <v>0.05</v>
      </c>
      <c r="I6" s="3685">
        <v>0.06</v>
      </c>
      <c r="J6" s="169"/>
      <c r="K6" s="172">
        <f>SUMIF('数据-汇总表'!C$19:C$33,'数据-取费表'!A6,'数据-汇总表'!E$19:E$33)</f>
        <v>0</v>
      </c>
      <c r="L6" s="2499">
        <v>5000</v>
      </c>
      <c r="M6" s="170">
        <f t="shared" ref="M6:M14" si="1">ROUND(K6*L6/10000,0)</f>
        <v>0</v>
      </c>
      <c r="N6" s="2500">
        <v>0</v>
      </c>
      <c r="O6" s="170">
        <f>IF($N$5="成新度","——",ROUND(M6*N6,0))</f>
        <v>0</v>
      </c>
      <c r="P6" s="171">
        <f>IF($N$5="成新度","——",M6-O6)</f>
        <v>0</v>
      </c>
      <c r="Q6" s="2501">
        <v>0.25</v>
      </c>
      <c r="R6" s="172" t="e">
        <f>SUMIF('数据-汇总表'!C$19:C$33,A6,'数据-汇总表'!R$19:R$33)</f>
        <v>#DIV/0!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v>12</v>
      </c>
      <c r="AJ6" s="181"/>
      <c r="AK6" s="182">
        <v>0.02</v>
      </c>
      <c r="AL6" s="183">
        <v>2E-3</v>
      </c>
      <c r="AM6" s="2510">
        <v>0.02</v>
      </c>
      <c r="AN6" s="2083"/>
      <c r="AO6" s="2835"/>
      <c r="AP6" s="1102">
        <f>ROUND(1-1/(1+H6)^F6,3)</f>
        <v>0.96699999999999997</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2741</v>
      </c>
      <c r="D7" s="2026">
        <f>SUMIF(项目基本情况!C$15:I$15,C7,项目基本情况!C$18:I$18)</f>
        <v>40</v>
      </c>
      <c r="E7" s="2027">
        <f>IF(B7="","",SUMIF(项目基本情况!C$15:I$15,C7,项目基本情况!C$17:I$17))</f>
        <v>59604</v>
      </c>
      <c r="F7" s="167">
        <f>SUMIF(项目基本情况!C$15:I$15,C7,项目基本情况!C$19:I$19)</f>
        <v>40</v>
      </c>
      <c r="G7" s="168">
        <f t="shared" si="0"/>
        <v>1</v>
      </c>
      <c r="H7" s="3685">
        <v>5.5E-2</v>
      </c>
      <c r="I7" s="3685">
        <v>6.5000000000000002E-2</v>
      </c>
      <c r="J7" s="169"/>
      <c r="K7" s="172">
        <f>SUMIF('数据-汇总表'!C$19:C$33,'数据-取费表'!A7,'数据-汇总表'!E$19:E$33)</f>
        <v>371200</v>
      </c>
      <c r="L7" s="2499">
        <v>5000</v>
      </c>
      <c r="M7" s="170">
        <f t="shared" si="1"/>
        <v>185600</v>
      </c>
      <c r="N7" s="2500">
        <v>0</v>
      </c>
      <c r="O7" s="170">
        <f t="shared" ref="O7:O14" si="3">IF($N$5="成新度","——",ROUND(M7*N7,0))</f>
        <v>0</v>
      </c>
      <c r="P7" s="171">
        <f t="shared" ref="P7:P14" si="4">IF($N$5="成新度","——",M7-O7)</f>
        <v>185600</v>
      </c>
      <c r="Q7" s="2501">
        <v>0.2</v>
      </c>
      <c r="R7" s="172">
        <f>SUMIF('数据-汇总表'!C$19:C$33,A7,'数据-汇总表'!R$19:R$33)</f>
        <v>185600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0.88300000000000001</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5.5E-2</v>
      </c>
      <c r="I16" s="195"/>
      <c r="J16" s="195"/>
      <c r="K16" s="196">
        <f>SUM(K6:K15)</f>
        <v>371200</v>
      </c>
      <c r="L16" s="197">
        <f>ROUND(M16*10000/SUM(K6:K14),0)</f>
        <v>5000</v>
      </c>
      <c r="M16" s="197">
        <f>SUM(M6:M14)</f>
        <v>185600</v>
      </c>
      <c r="N16" s="198">
        <f>ROUND(SUMPRODUCT(M6:M14,N6:N14)/M16,3)</f>
        <v>0</v>
      </c>
      <c r="O16" s="197">
        <f>SUM(O6:O14)</f>
        <v>0</v>
      </c>
      <c r="P16" s="197">
        <f>SUM(P6:P14)</f>
        <v>185600</v>
      </c>
      <c r="Q16" s="199">
        <f>ROUND(SUMPRODUCT(Q6:Q13,K6:K13)/SUMPRODUCT((Q6:Q13&gt;0)*(K6:K13)),2)</f>
        <v>0.2</v>
      </c>
      <c r="R16" s="2029" t="e">
        <f>SUM(R6:R13)</f>
        <v>#DIV/0!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0.88300000000000001</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0.05</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0.1</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3377</v>
      </c>
      <c r="B40" s="2129">
        <f ca="1">IF(A40="利息：取LPR",存贷款利率!E2,存贷款利率!E2+C40)</f>
        <v>4.7500000000000001E-2</v>
      </c>
      <c r="C40" s="3022">
        <v>1.0999999999999999E-2</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f>C54</f>
        <v>30</v>
      </c>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f t="shared" ref="B55:B59" si="9">C55</f>
        <v>24</v>
      </c>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f t="shared" si="9"/>
        <v>18</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f t="shared" si="9"/>
        <v>12</v>
      </c>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f t="shared" si="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 t="shared" si="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82" t="s">
        <v>1198</v>
      </c>
      <c r="B1" s="3783"/>
      <c r="C1" s="3783"/>
      <c r="D1" s="3783"/>
      <c r="E1" s="3783"/>
      <c r="F1" s="3783"/>
      <c r="G1" s="3783"/>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6" sqref="G26"/>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3378</v>
      </c>
      <c r="E1" s="1592" t="s">
        <v>1575</v>
      </c>
      <c r="F1" s="1594" t="s">
        <v>3379</v>
      </c>
      <c r="G1" s="302"/>
      <c r="H1" s="302"/>
      <c r="I1" s="302"/>
      <c r="J1" s="1752"/>
      <c r="K1" s="1752"/>
      <c r="L1" s="1752"/>
      <c r="M1" s="1752"/>
      <c r="N1" s="1752"/>
      <c r="O1" s="1752"/>
      <c r="P1" s="1752"/>
      <c r="Q1" s="1752"/>
      <c r="R1" s="1752"/>
      <c r="S1" s="1752"/>
      <c r="T1" s="1752"/>
      <c r="U1" s="1752"/>
      <c r="V1" s="1752"/>
    </row>
    <row r="2" spans="1:22" ht="21.75" customHeight="1" thickBot="1">
      <c r="A2" s="3828" t="str">
        <f>项目基本情况!K2</f>
        <v>北京市出让国有建设用地使用权</v>
      </c>
      <c r="B2" s="3829"/>
      <c r="C2" s="3830"/>
      <c r="D2" s="3830"/>
      <c r="E2" s="3830"/>
      <c r="F2" s="3830"/>
      <c r="G2" s="3829"/>
      <c r="H2" s="3829"/>
      <c r="I2" s="3831"/>
      <c r="J2" s="1753"/>
      <c r="K2" s="1752"/>
      <c r="L2" s="1752"/>
      <c r="M2" s="1752"/>
      <c r="N2" s="1752"/>
      <c r="O2" s="1752"/>
      <c r="P2" s="1752"/>
      <c r="Q2" s="1752"/>
      <c r="R2" s="1752"/>
      <c r="S2" s="1752"/>
      <c r="T2" s="1752"/>
      <c r="U2" s="1752"/>
      <c r="V2" s="1752"/>
    </row>
    <row r="3" spans="1:22" ht="14.25">
      <c r="A3" s="3839" t="s">
        <v>264</v>
      </c>
      <c r="B3" s="3840"/>
      <c r="C3" s="3840"/>
      <c r="D3" s="3840"/>
      <c r="E3" s="3840"/>
      <c r="F3" s="3840"/>
      <c r="G3" s="3840"/>
      <c r="H3" s="3840"/>
      <c r="I3" s="3840"/>
      <c r="J3" s="1753"/>
      <c r="K3" s="1752"/>
      <c r="L3" s="1752"/>
      <c r="M3" s="1752"/>
      <c r="N3" s="1752"/>
      <c r="O3" s="1752"/>
      <c r="P3" s="1752"/>
      <c r="Q3" s="1752"/>
      <c r="R3" s="1752"/>
      <c r="S3" s="1752"/>
      <c r="T3" s="1752"/>
      <c r="U3" s="1752"/>
      <c r="V3" s="1752"/>
    </row>
    <row r="4" spans="1:22" ht="14.25">
      <c r="A4" s="249" t="s">
        <v>265</v>
      </c>
      <c r="B4" s="250" t="s">
        <v>266</v>
      </c>
      <c r="C4" s="251" t="s">
        <v>3388</v>
      </c>
      <c r="D4" s="251" t="s">
        <v>3389</v>
      </c>
      <c r="E4" s="3803" t="s">
        <v>267</v>
      </c>
      <c r="F4" s="3845"/>
      <c r="G4" s="3845"/>
      <c r="H4" s="3845"/>
      <c r="I4" s="3804"/>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32" t="s">
        <v>268</v>
      </c>
      <c r="B5" s="3833">
        <v>25</v>
      </c>
      <c r="C5" s="3841">
        <v>3</v>
      </c>
      <c r="D5" s="3844">
        <f>10-C5</f>
        <v>7</v>
      </c>
      <c r="E5" s="252" t="s">
        <v>269</v>
      </c>
      <c r="F5" s="253"/>
      <c r="G5" s="253"/>
      <c r="H5" s="253"/>
      <c r="I5" s="254"/>
      <c r="J5" s="1753"/>
      <c r="K5" s="1752"/>
      <c r="L5" s="1752"/>
      <c r="M5" s="1752"/>
      <c r="N5" s="1752"/>
      <c r="O5" s="1752"/>
      <c r="P5" s="1752"/>
      <c r="Q5" s="1752"/>
      <c r="R5" s="1752"/>
      <c r="S5" s="1752"/>
      <c r="T5" s="1752"/>
      <c r="U5" s="1752"/>
      <c r="V5" s="1752"/>
    </row>
    <row r="6" spans="1:22" ht="14.25">
      <c r="A6" s="3832"/>
      <c r="B6" s="3833"/>
      <c r="C6" s="3842"/>
      <c r="D6" s="3844"/>
      <c r="E6" s="252" t="s">
        <v>270</v>
      </c>
      <c r="F6" s="253"/>
      <c r="G6" s="253"/>
      <c r="H6" s="253"/>
      <c r="I6" s="254"/>
      <c r="J6" s="1753"/>
      <c r="K6" s="1752"/>
      <c r="L6" s="1752"/>
      <c r="M6" s="1752"/>
      <c r="N6" s="1752"/>
      <c r="O6" s="1752"/>
      <c r="P6" s="1752"/>
      <c r="Q6" s="1752"/>
      <c r="R6" s="1752"/>
      <c r="S6" s="1752"/>
      <c r="T6" s="1752"/>
      <c r="U6" s="1752"/>
      <c r="V6" s="1752"/>
    </row>
    <row r="7" spans="1:22" ht="14.25">
      <c r="A7" s="3832"/>
      <c r="B7" s="3833"/>
      <c r="C7" s="3843"/>
      <c r="D7" s="3844"/>
      <c r="E7" s="252" t="s">
        <v>271</v>
      </c>
      <c r="F7" s="253"/>
      <c r="G7" s="253"/>
      <c r="H7" s="253"/>
      <c r="I7" s="254"/>
      <c r="J7" s="1753"/>
      <c r="K7" s="1752"/>
      <c r="L7" s="1752"/>
      <c r="M7" s="1752"/>
      <c r="N7" s="1752"/>
      <c r="O7" s="1752"/>
      <c r="P7" s="1752"/>
      <c r="Q7" s="1752"/>
      <c r="R7" s="1752"/>
      <c r="S7" s="1752"/>
      <c r="T7" s="1752"/>
      <c r="U7" s="1752"/>
      <c r="V7" s="1752"/>
    </row>
    <row r="8" spans="1:22" ht="14.25">
      <c r="A8" s="3832" t="s">
        <v>272</v>
      </c>
      <c r="B8" s="3833">
        <v>15</v>
      </c>
      <c r="C8" s="3841"/>
      <c r="D8" s="3844"/>
      <c r="E8" s="252" t="s">
        <v>273</v>
      </c>
      <c r="F8" s="253"/>
      <c r="G8" s="253"/>
      <c r="H8" s="253"/>
      <c r="I8" s="254"/>
      <c r="J8" s="1753"/>
      <c r="K8" s="1752"/>
      <c r="L8" s="1752"/>
      <c r="M8" s="1752"/>
      <c r="N8" s="1752"/>
      <c r="O8" s="1752"/>
      <c r="P8" s="1752"/>
      <c r="Q8" s="1752"/>
      <c r="R8" s="1752"/>
      <c r="S8" s="1752"/>
      <c r="T8" s="1752"/>
      <c r="U8" s="1752"/>
      <c r="V8" s="1752"/>
    </row>
    <row r="9" spans="1:22" ht="14.25">
      <c r="A9" s="3832"/>
      <c r="B9" s="3833"/>
      <c r="C9" s="3843"/>
      <c r="D9" s="3844"/>
      <c r="E9" s="252" t="s">
        <v>274</v>
      </c>
      <c r="F9" s="253"/>
      <c r="G9" s="253"/>
      <c r="H9" s="253"/>
      <c r="I9" s="254"/>
      <c r="J9" s="1753"/>
      <c r="K9" s="1752"/>
      <c r="L9" s="1752"/>
      <c r="M9" s="1752"/>
      <c r="N9" s="1752"/>
      <c r="O9" s="1752"/>
      <c r="P9" s="1752"/>
      <c r="Q9" s="1752"/>
      <c r="R9" s="1752"/>
      <c r="S9" s="1752"/>
      <c r="T9" s="1752"/>
      <c r="U9" s="1752"/>
      <c r="V9" s="1752"/>
    </row>
    <row r="10" spans="1:22" ht="14.25">
      <c r="A10" s="3832" t="s">
        <v>275</v>
      </c>
      <c r="B10" s="3833">
        <v>15</v>
      </c>
      <c r="C10" s="3841"/>
      <c r="D10" s="3844"/>
      <c r="E10" s="252" t="s">
        <v>276</v>
      </c>
      <c r="F10" s="253"/>
      <c r="G10" s="253"/>
      <c r="H10" s="253"/>
      <c r="I10" s="254"/>
      <c r="J10" s="1753"/>
      <c r="K10" s="1752"/>
      <c r="L10" s="1752"/>
      <c r="M10" s="1752"/>
      <c r="N10" s="1752"/>
      <c r="O10" s="1752"/>
      <c r="P10" s="1752"/>
      <c r="Q10" s="1752"/>
      <c r="R10" s="1752"/>
      <c r="S10" s="1752"/>
      <c r="T10" s="1752"/>
      <c r="U10" s="1752"/>
      <c r="V10" s="1752"/>
    </row>
    <row r="11" spans="1:22" ht="14.25">
      <c r="A11" s="3832"/>
      <c r="B11" s="3833"/>
      <c r="C11" s="3843"/>
      <c r="D11" s="3844"/>
      <c r="E11" s="252" t="s">
        <v>277</v>
      </c>
      <c r="F11" s="253"/>
      <c r="G11" s="253"/>
      <c r="H11" s="253"/>
      <c r="I11" s="254"/>
      <c r="J11" s="1753"/>
      <c r="K11" s="1752"/>
      <c r="L11" s="1752"/>
      <c r="M11" s="1752"/>
      <c r="N11" s="1752"/>
      <c r="O11" s="1752"/>
      <c r="P11" s="1752"/>
      <c r="Q11" s="1752"/>
      <c r="R11" s="1752"/>
      <c r="S11" s="1752"/>
      <c r="T11" s="1752"/>
      <c r="U11" s="1752"/>
      <c r="V11" s="1752"/>
    </row>
    <row r="12" spans="1:22" ht="14.25">
      <c r="A12" s="3832" t="s">
        <v>278</v>
      </c>
      <c r="B12" s="3833">
        <v>15</v>
      </c>
      <c r="C12" s="3841"/>
      <c r="D12" s="3844"/>
      <c r="E12" s="252" t="s">
        <v>279</v>
      </c>
      <c r="F12" s="253"/>
      <c r="G12" s="253"/>
      <c r="H12" s="253"/>
      <c r="I12" s="254"/>
      <c r="J12" s="1753"/>
      <c r="K12" s="1752"/>
      <c r="L12" s="1752"/>
      <c r="M12" s="1752"/>
      <c r="N12" s="1752"/>
      <c r="O12" s="1752"/>
      <c r="P12" s="1752"/>
      <c r="Q12" s="1752"/>
      <c r="R12" s="1752"/>
      <c r="S12" s="1752"/>
      <c r="T12" s="1752"/>
      <c r="U12" s="1752"/>
      <c r="V12" s="1752"/>
    </row>
    <row r="13" spans="1:22" ht="14.25">
      <c r="A13" s="3832"/>
      <c r="B13" s="3833"/>
      <c r="C13" s="3843"/>
      <c r="D13" s="3844"/>
      <c r="E13" s="252" t="s">
        <v>280</v>
      </c>
      <c r="F13" s="253"/>
      <c r="G13" s="253"/>
      <c r="H13" s="253"/>
      <c r="I13" s="254"/>
      <c r="J13" s="1753"/>
      <c r="K13" s="1752"/>
      <c r="L13" s="1752"/>
      <c r="M13" s="1752"/>
      <c r="N13" s="1752"/>
      <c r="O13" s="1752"/>
      <c r="P13" s="1752"/>
      <c r="Q13" s="1752"/>
      <c r="R13" s="1752"/>
      <c r="S13" s="1752"/>
      <c r="T13" s="1752"/>
      <c r="U13" s="1752"/>
      <c r="V13" s="1752"/>
    </row>
    <row r="14" spans="1:22" ht="14.25">
      <c r="A14" s="3832" t="s">
        <v>281</v>
      </c>
      <c r="B14" s="3833">
        <v>30</v>
      </c>
      <c r="C14" s="3841"/>
      <c r="D14" s="3844"/>
      <c r="E14" s="252" t="s">
        <v>282</v>
      </c>
      <c r="F14" s="253"/>
      <c r="G14" s="253"/>
      <c r="H14" s="253"/>
      <c r="I14" s="254"/>
      <c r="J14" s="1753"/>
      <c r="K14" s="1752"/>
      <c r="L14" s="1752"/>
      <c r="M14" s="1752"/>
      <c r="N14" s="1752"/>
      <c r="O14" s="1752"/>
      <c r="P14" s="1752"/>
      <c r="Q14" s="1752"/>
      <c r="R14" s="1752"/>
      <c r="S14" s="1752"/>
      <c r="T14" s="1752"/>
      <c r="U14" s="1752"/>
      <c r="V14" s="1752"/>
    </row>
    <row r="15" spans="1:22" ht="14.25">
      <c r="A15" s="3832"/>
      <c r="B15" s="3833"/>
      <c r="C15" s="3842"/>
      <c r="D15" s="3844"/>
      <c r="E15" s="252" t="s">
        <v>283</v>
      </c>
      <c r="F15" s="253"/>
      <c r="G15" s="253"/>
      <c r="H15" s="253"/>
      <c r="I15" s="254"/>
      <c r="J15" s="1753"/>
      <c r="K15" s="1752"/>
      <c r="L15" s="1752"/>
      <c r="M15" s="1752"/>
      <c r="N15" s="1752"/>
      <c r="O15" s="1752"/>
      <c r="P15" s="1752"/>
      <c r="Q15" s="1752"/>
      <c r="R15" s="1752"/>
      <c r="S15" s="1752"/>
      <c r="T15" s="1752"/>
      <c r="U15" s="1752"/>
      <c r="V15" s="1752"/>
    </row>
    <row r="16" spans="1:22" ht="14.25">
      <c r="A16" s="3832"/>
      <c r="B16" s="3833"/>
      <c r="C16" s="3843"/>
      <c r="D16" s="384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3</v>
      </c>
      <c r="D17" s="256">
        <f>SUM(D5:D16)</f>
        <v>7</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0.3</v>
      </c>
      <c r="D18" s="258">
        <f>1-C18</f>
        <v>0.7</v>
      </c>
      <c r="E18" s="3846" t="s">
        <v>2254</v>
      </c>
      <c r="F18" s="3847"/>
      <c r="G18" s="3847"/>
      <c r="H18" s="3847"/>
      <c r="I18" s="3847"/>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152266</v>
      </c>
      <c r="D19" s="262">
        <f ca="1">SUMIF(INDIRECT("'"&amp;D4&amp;"'"&amp;"!A:A"),结果表!B19,INDIRECT("'"&amp;D4&amp;"'"&amp;"!B:B"))</f>
        <v>372372</v>
      </c>
      <c r="E19" s="259" t="s">
        <v>289</v>
      </c>
      <c r="F19" s="260" t="s">
        <v>288</v>
      </c>
      <c r="G19" s="263">
        <f ca="1">ROUND(C19*$C$18+D19*$D$18,0)</f>
        <v>306340</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'基准地价-商业'!C33</f>
        <v>4102</v>
      </c>
      <c r="D20" s="268">
        <f ca="1">SUMIF(INDIRECT("'"&amp;D4&amp;"'"&amp;"!A:A"),结果表!B20,INDIRECT("'"&amp;D4&amp;"'"&amp;"!B:B"))</f>
        <v>10032</v>
      </c>
      <c r="E20" s="265"/>
      <c r="F20" s="266" t="s">
        <v>291</v>
      </c>
      <c r="G20" s="269">
        <f ca="1">ROUND(C20*$C$18+D20*$D$18,0)</f>
        <v>8253</v>
      </c>
      <c r="H20" s="270" t="s">
        <v>292</v>
      </c>
      <c r="I20" s="302"/>
      <c r="J20" s="1752"/>
      <c r="K20" s="1752">
        <f ca="1">(D20-C20)/C20</f>
        <v>1.4456362749878109</v>
      </c>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8204</v>
      </c>
      <c r="D21" s="144">
        <f ca="1">SUMIF(INDIRECT("'"&amp;D4&amp;"'"&amp;"!A:A"),结果表!B21,INDIRECT("'"&amp;D4&amp;"'"&amp;"!B:B"))</f>
        <v>20063</v>
      </c>
      <c r="E21" s="265"/>
      <c r="F21" s="271" t="s">
        <v>293</v>
      </c>
      <c r="G21" s="273">
        <f ca="1">ROUND(C21*$C$18+D21*$D$18,0)</f>
        <v>16505</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1.4455361012964154</v>
      </c>
      <c r="E22" s="275"/>
      <c r="F22" s="276"/>
      <c r="G22" s="277">
        <f ca="1">ROUND(G19/('数据-汇总表'!D3/666.67),0)</f>
        <v>1100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05"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52"/>
      <c r="B25" s="1190" t="s">
        <v>297</v>
      </c>
      <c r="C25" s="281">
        <f>IF(B30=0,0,C30)</f>
        <v>0</v>
      </c>
      <c r="D25" s="282"/>
      <c r="E25" s="302"/>
      <c r="F25" s="302"/>
      <c r="G25" s="302"/>
      <c r="H25" s="302"/>
      <c r="I25" s="302"/>
      <c r="J25" s="1752"/>
      <c r="K25" s="1124" t="str">
        <f ca="1">项目基本情况!A17&amp;"国有建设用地使用权价格："&amp;O38&amp;"万元"</f>
        <v>出让国有建设用地使用权价格：306340万元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大写金额：人民币叁拾亿陆仟叁佰肆拾万元整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单位面积地价：16505元/平方米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楼面地价：8253元/平方米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48" t="s">
        <v>2256</v>
      </c>
      <c r="B31" s="3848"/>
      <c r="C31" s="3848"/>
      <c r="D31" s="3848"/>
      <c r="E31" s="3848"/>
      <c r="F31" s="3848"/>
      <c r="G31" s="3848"/>
      <c r="H31" s="3848"/>
      <c r="I31" s="3848"/>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306340</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8253</v>
      </c>
      <c r="D33" s="1240" t="s">
        <v>1224</v>
      </c>
      <c r="E33" s="3805"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16505</v>
      </c>
      <c r="D34" s="1242" t="s">
        <v>1224</v>
      </c>
      <c r="E34" s="380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1100</v>
      </c>
      <c r="D35" s="1245" t="s">
        <v>1226</v>
      </c>
      <c r="E35" s="3807"/>
      <c r="F35" s="292" t="s">
        <v>308</v>
      </c>
      <c r="G35" s="944"/>
      <c r="H35" s="943" t="s">
        <v>309</v>
      </c>
      <c r="I35" s="302"/>
      <c r="J35" s="1752"/>
      <c r="K35" s="3811" t="s">
        <v>316</v>
      </c>
      <c r="L35" s="3811" t="s">
        <v>317</v>
      </c>
      <c r="M35" s="1133" t="s">
        <v>318</v>
      </c>
      <c r="N35" s="3811" t="s">
        <v>319</v>
      </c>
      <c r="O35" s="3811" t="s">
        <v>320</v>
      </c>
      <c r="P35" s="1752"/>
      <c r="V35" s="1752"/>
    </row>
    <row r="36" spans="1:26" ht="16.5" customHeight="1">
      <c r="A36" s="294" t="s">
        <v>310</v>
      </c>
      <c r="B36" s="295" t="s">
        <v>299</v>
      </c>
      <c r="C36" s="296" t="s">
        <v>311</v>
      </c>
      <c r="D36" s="296" t="s">
        <v>312</v>
      </c>
      <c r="E36" s="297" t="s">
        <v>313</v>
      </c>
      <c r="F36" s="302"/>
      <c r="G36" s="302"/>
      <c r="H36" s="302"/>
      <c r="I36" s="302"/>
      <c r="J36" s="1754"/>
      <c r="K36" s="3812"/>
      <c r="L36" s="3812"/>
      <c r="M36" s="1135" t="s">
        <v>321</v>
      </c>
      <c r="N36" s="3812"/>
      <c r="O36" s="3812"/>
      <c r="P36" s="1752"/>
      <c r="V36" s="1752"/>
    </row>
    <row r="37" spans="1:26" ht="16.5" customHeight="1" thickBot="1">
      <c r="A37" s="1129" t="s">
        <v>314</v>
      </c>
      <c r="B37" s="298"/>
      <c r="C37" s="285"/>
      <c r="D37" s="285"/>
      <c r="E37" s="286"/>
      <c r="F37" s="302"/>
      <c r="G37" s="302"/>
      <c r="H37" s="302"/>
      <c r="I37" s="302"/>
      <c r="J37" s="1754"/>
      <c r="K37" s="3813"/>
      <c r="L37" s="3813"/>
      <c r="M37" s="1136"/>
      <c r="N37" s="3813"/>
      <c r="O37" s="3813"/>
      <c r="P37" s="1752"/>
      <c r="V37" s="1752"/>
    </row>
    <row r="38" spans="1:26" ht="16.5" customHeight="1" thickBot="1">
      <c r="A38" s="1129" t="s">
        <v>315</v>
      </c>
      <c r="B38" s="298"/>
      <c r="C38" s="285"/>
      <c r="D38" s="285"/>
      <c r="E38" s="286"/>
      <c r="F38" s="302"/>
      <c r="G38" s="302"/>
      <c r="H38" s="302"/>
      <c r="I38" s="302"/>
      <c r="J38" s="1754"/>
      <c r="K38" s="1137">
        <f>'数据-汇总表'!D3</f>
        <v>185600</v>
      </c>
      <c r="L38" s="1138">
        <f>'数据-汇总表'!E3</f>
        <v>371200</v>
      </c>
      <c r="M38" s="1138">
        <f ca="1">C34</f>
        <v>16505</v>
      </c>
      <c r="N38" s="1138">
        <f ca="1">C33</f>
        <v>8253</v>
      </c>
      <c r="O38" s="1139">
        <f ca="1">C32</f>
        <v>306340</v>
      </c>
      <c r="P38" s="1752"/>
      <c r="V38" s="1752"/>
    </row>
    <row r="39" spans="1:26" ht="16.5" customHeight="1" thickBot="1">
      <c r="A39" s="1134"/>
      <c r="B39" s="299"/>
      <c r="C39" s="300"/>
      <c r="D39" s="300"/>
      <c r="E39" s="301"/>
      <c r="F39" s="302"/>
      <c r="G39" s="302"/>
      <c r="H39" s="302"/>
      <c r="I39" s="302"/>
      <c r="J39" s="1754"/>
      <c r="K39" s="3824" t="str">
        <f>MID(A44,3,LEN(A44)-2)</f>
        <v/>
      </c>
      <c r="L39" s="3825"/>
      <c r="M39" s="3825"/>
      <c r="N39" s="3826"/>
      <c r="O39" s="1247" t="str">
        <f>C44</f>
        <v>——</v>
      </c>
      <c r="P39" s="1752"/>
      <c r="V39" s="1752"/>
    </row>
    <row r="40" spans="1:26" ht="19.5" thickBot="1">
      <c r="A40" s="100" t="s">
        <v>810</v>
      </c>
      <c r="B40" s="302"/>
      <c r="C40" s="302"/>
      <c r="D40" s="302"/>
      <c r="E40" s="302"/>
      <c r="F40" s="302"/>
      <c r="G40" s="302"/>
      <c r="H40" s="302"/>
      <c r="I40" s="302"/>
      <c r="J40" s="1754"/>
      <c r="K40" s="3824" t="str">
        <f>MID(A45,3,LEN(A45)-2)</f>
        <v/>
      </c>
      <c r="L40" s="3825"/>
      <c r="M40" s="3825"/>
      <c r="N40" s="3826"/>
      <c r="O40" s="1247" t="str">
        <f>C45</f>
        <v>——</v>
      </c>
      <c r="P40" s="1752"/>
      <c r="V40" s="1752"/>
    </row>
    <row r="41" spans="1:26" ht="16.5" thickBot="1">
      <c r="A41" s="303" t="s">
        <v>322</v>
      </c>
      <c r="B41" s="304"/>
      <c r="C41" s="305" t="s">
        <v>323</v>
      </c>
      <c r="D41" s="306" t="s">
        <v>324</v>
      </c>
      <c r="E41" s="306" t="s">
        <v>325</v>
      </c>
      <c r="F41" s="307" t="s">
        <v>326</v>
      </c>
      <c r="G41" s="302"/>
      <c r="H41" s="302"/>
      <c r="I41" s="302"/>
      <c r="J41" s="1754"/>
      <c r="K41" s="3824" t="str">
        <f>MID(A46,3,LEN(A46)-2)</f>
        <v/>
      </c>
      <c r="L41" s="3825"/>
      <c r="M41" s="3825"/>
      <c r="N41" s="3826"/>
      <c r="O41" s="1247" t="str">
        <f>C46</f>
        <v>——</v>
      </c>
      <c r="P41" s="1752"/>
      <c r="V41" s="1752"/>
    </row>
    <row r="42" spans="1:26" ht="29.25">
      <c r="A42" s="3853" t="s">
        <v>1585</v>
      </c>
      <c r="B42" s="3854"/>
      <c r="C42" s="255">
        <f ca="1">C32</f>
        <v>306340</v>
      </c>
      <c r="D42" s="308">
        <f ca="1">C33</f>
        <v>8253</v>
      </c>
      <c r="E42" s="308">
        <f ca="1">C34</f>
        <v>16505</v>
      </c>
      <c r="F42" s="309">
        <f ca="1">C35</f>
        <v>1100</v>
      </c>
      <c r="G42" s="302"/>
      <c r="H42" s="302"/>
      <c r="I42" s="310"/>
      <c r="J42" s="1754"/>
      <c r="K42" s="1140" t="s">
        <v>327</v>
      </c>
      <c r="L42" s="1771" t="s">
        <v>328</v>
      </c>
      <c r="M42" s="1141" t="s">
        <v>329</v>
      </c>
      <c r="N42" s="1772" t="s">
        <v>330</v>
      </c>
      <c r="O42" s="1773" t="s">
        <v>331</v>
      </c>
      <c r="P42" s="1752"/>
      <c r="V42" s="1752"/>
    </row>
    <row r="43" spans="1:26" ht="30">
      <c r="A43" s="3863" t="s">
        <v>2012</v>
      </c>
      <c r="B43" s="3864"/>
      <c r="C43" s="255">
        <f>IF(H33="正常操作",G33+G34+G35,G34+G35)</f>
        <v>0</v>
      </c>
      <c r="D43" s="308" t="s">
        <v>17</v>
      </c>
      <c r="E43" s="308" t="s">
        <v>18</v>
      </c>
      <c r="F43" s="309" t="s">
        <v>18</v>
      </c>
      <c r="G43" s="2346" t="s">
        <v>877</v>
      </c>
      <c r="H43" s="302"/>
      <c r="I43" s="310"/>
      <c r="J43" s="1754"/>
      <c r="K43" s="1142" t="str">
        <f>C4</f>
        <v>基准地价-商业</v>
      </c>
      <c r="L43" s="1143">
        <f ca="1">IF(L42="估价结果/万元",C19,C20)</f>
        <v>152266</v>
      </c>
      <c r="M43" s="1144">
        <f>C18</f>
        <v>0.3</v>
      </c>
      <c r="N43" s="1145">
        <f ca="1">IF(N42="测算结果/万元",G19,G20)</f>
        <v>306340</v>
      </c>
      <c r="O43" s="1146">
        <f ca="1">IF(O42="最终结果/万元",C32,C33)</f>
        <v>306340</v>
      </c>
      <c r="P43" s="1752"/>
      <c r="V43" s="1752"/>
    </row>
    <row r="44" spans="1:26" ht="18.75" thickBot="1">
      <c r="A44" s="3853" t="str">
        <f>IF(OR(项目基本情况!E8="抵押价格",项目基本情况!E8="已注销及未注销"),"3.抵押价格","——")</f>
        <v>——</v>
      </c>
      <c r="B44" s="3854"/>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剩余法-商业</v>
      </c>
      <c r="L44" s="1148">
        <f ca="1">IF(L42="估价结果/万元",D19,D20)</f>
        <v>372372</v>
      </c>
      <c r="M44" s="1149">
        <f>D18</f>
        <v>0.7</v>
      </c>
      <c r="N44" s="1150"/>
      <c r="O44" s="1151"/>
      <c r="P44" s="1752"/>
      <c r="V44" s="1752"/>
    </row>
    <row r="45" spans="1:26" ht="15">
      <c r="A45" s="3858" t="str">
        <f>IF(项目基本情况!E8="已注销及未注销","4.抵押担保权已注销时的抵押价格",IF(项目基本情况!E8="已注销","3.抵押担保权已注销时的抵押价格","——"))</f>
        <v>——</v>
      </c>
      <c r="B45" s="385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55" t="str">
        <f>IF(项目基本情况!E9="抵押净值",IF(A45="——","4.抵押净值","5.抵押净值"),"——")</f>
        <v>——</v>
      </c>
      <c r="B46" s="385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6" t="s">
        <v>340</v>
      </c>
      <c r="B63" s="3817"/>
      <c r="C63" s="3818"/>
      <c r="D63" s="332">
        <f ca="1">ROUND(C42*F63,0)</f>
        <v>306340</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60" t="s">
        <v>344</v>
      </c>
      <c r="B64" s="3861"/>
      <c r="C64" s="3861"/>
      <c r="D64" s="3861"/>
      <c r="E64" s="3861"/>
      <c r="F64" s="3861"/>
      <c r="G64" s="386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57" t="s">
        <v>352</v>
      </c>
      <c r="B66" s="3823"/>
      <c r="C66" s="3823"/>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84" t="s">
        <v>351</v>
      </c>
      <c r="M66" s="3785"/>
      <c r="N66" s="2110"/>
      <c r="O66" s="2111"/>
      <c r="P66" s="2112"/>
      <c r="Q66" s="1752"/>
      <c r="R66" s="1752"/>
      <c r="S66" s="1752"/>
      <c r="T66" s="1752"/>
      <c r="U66" s="1752"/>
      <c r="V66" s="1752"/>
    </row>
    <row r="67" spans="1:22" ht="25.5" customHeight="1">
      <c r="A67" s="343" t="s">
        <v>355</v>
      </c>
      <c r="B67" s="3835" t="s">
        <v>356</v>
      </c>
      <c r="C67" s="3835"/>
      <c r="D67" s="344">
        <v>0</v>
      </c>
      <c r="E67" s="39" t="s">
        <v>357</v>
      </c>
      <c r="F67" s="60" t="s">
        <v>15</v>
      </c>
      <c r="G67" s="3819"/>
      <c r="H67" s="2749" t="s">
        <v>2257</v>
      </c>
      <c r="I67" s="2751"/>
      <c r="J67" s="1759"/>
      <c r="K67" s="1731">
        <v>2</v>
      </c>
      <c r="L67" s="3789" t="s">
        <v>354</v>
      </c>
      <c r="M67" s="3789"/>
      <c r="N67" s="1194">
        <f>'数据-取费表'!B2</f>
        <v>44994</v>
      </c>
      <c r="O67" s="1194"/>
      <c r="P67" s="1194"/>
      <c r="Q67" s="1752"/>
      <c r="R67" s="1752"/>
      <c r="S67" s="1752"/>
      <c r="T67" s="1752"/>
      <c r="U67" s="1752"/>
      <c r="V67" s="1752"/>
    </row>
    <row r="68" spans="1:22" ht="25.5" customHeight="1">
      <c r="A68" s="345"/>
      <c r="B68" s="3835" t="s">
        <v>359</v>
      </c>
      <c r="C68" s="3835"/>
      <c r="D68" s="346"/>
      <c r="E68" s="75"/>
      <c r="F68" s="347"/>
      <c r="G68" s="3820"/>
      <c r="H68" s="2750" t="s">
        <v>2258</v>
      </c>
      <c r="I68" s="2751"/>
      <c r="J68" s="1759"/>
      <c r="K68" s="1731">
        <v>3</v>
      </c>
      <c r="L68" s="3789" t="s">
        <v>358</v>
      </c>
      <c r="M68" s="3789"/>
      <c r="N68" s="1162">
        <f ca="1">C42</f>
        <v>306340</v>
      </c>
      <c r="O68" s="1162"/>
      <c r="P68" s="1162"/>
      <c r="Q68" s="1752"/>
      <c r="R68" s="1752"/>
      <c r="S68" s="1752"/>
      <c r="T68" s="1752"/>
      <c r="U68" s="1752"/>
      <c r="V68" s="1752"/>
    </row>
    <row r="69" spans="1:22" ht="23.45" customHeight="1">
      <c r="A69" s="348"/>
      <c r="B69" s="3835" t="s">
        <v>360</v>
      </c>
      <c r="C69" s="3835"/>
      <c r="D69" s="349"/>
      <c r="E69" s="71"/>
      <c r="F69" s="347"/>
      <c r="G69" s="3821"/>
      <c r="H69" s="2750" t="s">
        <v>2259</v>
      </c>
      <c r="I69" s="2751"/>
      <c r="J69" s="1759"/>
      <c r="K69" s="1163">
        <v>4</v>
      </c>
      <c r="L69" s="3790" t="s">
        <v>2157</v>
      </c>
      <c r="M69" s="3791"/>
      <c r="N69" s="1164" t="str">
        <f>C44</f>
        <v>——</v>
      </c>
      <c r="O69" s="1164"/>
      <c r="P69" s="1164"/>
      <c r="Q69" s="1752"/>
      <c r="R69" s="1752"/>
      <c r="S69" s="1752"/>
      <c r="T69" s="1752"/>
      <c r="U69" s="1752"/>
      <c r="V69" s="1752"/>
    </row>
    <row r="70" spans="1:22" ht="24" customHeight="1">
      <c r="A70" s="350" t="s">
        <v>361</v>
      </c>
      <c r="B70" s="3835" t="s">
        <v>362</v>
      </c>
      <c r="C70" s="3835"/>
      <c r="D70" s="349">
        <f ca="1">ROUND(D63*'数据-取费表'!B41/(1+'数据-取费表'!C42),0)</f>
        <v>16046</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34" t="s">
        <v>2286</v>
      </c>
      <c r="C71" s="3851"/>
      <c r="D71" s="349">
        <f ca="1">ROUND(D63*'数据-取费表'!B41/(1+'数据-取费表'!C42),0)</f>
        <v>16046</v>
      </c>
      <c r="E71" s="15" t="s">
        <v>363</v>
      </c>
      <c r="F71" s="351">
        <f>'数据-取费表'!B41</f>
        <v>5.5000000000000007E-2</v>
      </c>
      <c r="G71" s="352"/>
      <c r="H71" s="302"/>
      <c r="I71" s="1161"/>
      <c r="J71" s="1759"/>
      <c r="K71" s="2521" t="s">
        <v>364</v>
      </c>
      <c r="L71" s="3792" t="s">
        <v>365</v>
      </c>
      <c r="M71" s="3792"/>
      <c r="N71" s="2521" t="s">
        <v>366</v>
      </c>
      <c r="O71" s="2521" t="s">
        <v>367</v>
      </c>
      <c r="P71" s="2521" t="s">
        <v>368</v>
      </c>
      <c r="Q71" s="1752"/>
      <c r="R71" s="1752"/>
      <c r="S71" s="1752"/>
      <c r="T71" s="1752"/>
      <c r="U71" s="1752"/>
      <c r="V71" s="1752"/>
    </row>
    <row r="72" spans="1:22" ht="12" customHeight="1">
      <c r="A72" s="350" t="s">
        <v>371</v>
      </c>
      <c r="B72" s="3834" t="s">
        <v>2287</v>
      </c>
      <c r="C72" s="3851"/>
      <c r="D72" s="349">
        <f ca="1">C86</f>
        <v>16046</v>
      </c>
      <c r="E72" s="71" t="s">
        <v>372</v>
      </c>
      <c r="F72" s="351">
        <f>'数据-取费表'!B41</f>
        <v>5.5000000000000007E-2</v>
      </c>
      <c r="G72" s="352"/>
      <c r="H72" s="1167"/>
      <c r="I72" s="1161"/>
      <c r="J72" s="1759"/>
      <c r="K72" s="1731">
        <v>1</v>
      </c>
      <c r="L72" s="3788" t="s">
        <v>370</v>
      </c>
      <c r="M72" s="3788"/>
      <c r="N72" s="1165" t="b">
        <f>D66</f>
        <v>0</v>
      </c>
      <c r="O72" s="1636" t="str">
        <f>E66</f>
        <v>销售额×税（费）率</v>
      </c>
      <c r="P72" s="1166">
        <f>F66</f>
        <v>5.5000000000000007E-2</v>
      </c>
      <c r="Q72" s="1752"/>
      <c r="R72" s="1752"/>
      <c r="S72" s="1752"/>
      <c r="T72" s="1752"/>
      <c r="U72" s="1752"/>
      <c r="V72" s="1752"/>
    </row>
    <row r="73" spans="1:22" ht="24" customHeight="1">
      <c r="A73" s="3822" t="s">
        <v>374</v>
      </c>
      <c r="B73" s="3823"/>
      <c r="C73" s="3823"/>
      <c r="D73" s="353">
        <f ca="1">IF(H73="个人住宅",0,ROUND(D63*I73,0))</f>
        <v>153</v>
      </c>
      <c r="E73" s="15" t="s">
        <v>375</v>
      </c>
      <c r="F73" s="351" t="str">
        <f>IF(H73="正常",I73,"免征")</f>
        <v>免征</v>
      </c>
      <c r="G73" s="352"/>
      <c r="H73" s="184"/>
      <c r="I73" s="351">
        <f>'数据-取费表'!B49</f>
        <v>5.0000000000000001E-4</v>
      </c>
      <c r="J73" s="1759"/>
      <c r="K73" s="1731">
        <v>2</v>
      </c>
      <c r="L73" s="3788" t="s">
        <v>373</v>
      </c>
      <c r="M73" s="3788"/>
      <c r="N73" s="1165">
        <f t="shared" ref="N73:P74" ca="1" si="0">D73</f>
        <v>153</v>
      </c>
      <c r="O73" s="1636" t="str">
        <f t="shared" si="0"/>
        <v>销售额×税（费）率</v>
      </c>
      <c r="P73" s="1166" t="str">
        <f t="shared" si="0"/>
        <v>免征</v>
      </c>
      <c r="Q73" s="1752"/>
      <c r="R73" s="1752"/>
      <c r="S73" s="1752"/>
      <c r="T73" s="1752"/>
      <c r="U73" s="1752"/>
      <c r="V73" s="1752"/>
    </row>
    <row r="74" spans="1:22" ht="24.75">
      <c r="A74" s="3822" t="s">
        <v>377</v>
      </c>
      <c r="B74" s="3823"/>
      <c r="C74" s="3823"/>
      <c r="D74" s="353">
        <f ca="1">IF(H74="个人住宅",D75,D76)</f>
        <v>173665</v>
      </c>
      <c r="E74" s="15" t="s">
        <v>378</v>
      </c>
      <c r="F74" s="351" t="str">
        <f>IF(H74="正常",F76,"免征")</f>
        <v>免征</v>
      </c>
      <c r="G74" s="945" t="s">
        <v>379</v>
      </c>
      <c r="H74" s="354"/>
      <c r="I74" s="40"/>
      <c r="J74" s="1759"/>
      <c r="K74" s="1731">
        <v>3</v>
      </c>
      <c r="L74" s="3788" t="s">
        <v>376</v>
      </c>
      <c r="M74" s="3788"/>
      <c r="N74" s="1165">
        <f t="shared" ca="1" si="0"/>
        <v>173665</v>
      </c>
      <c r="O74" s="1636" t="str">
        <f t="shared" si="0"/>
        <v>增值额×税（费）率</v>
      </c>
      <c r="P74" s="1168" t="str">
        <f t="shared" si="0"/>
        <v>免征</v>
      </c>
      <c r="Q74" s="1752"/>
      <c r="R74" s="1752"/>
      <c r="S74" s="1752"/>
      <c r="T74" s="1752"/>
      <c r="U74" s="1752"/>
      <c r="V74" s="1752"/>
    </row>
    <row r="75" spans="1:22" ht="12.75">
      <c r="A75" s="350" t="s">
        <v>380</v>
      </c>
      <c r="B75" s="3803" t="s">
        <v>381</v>
      </c>
      <c r="C75" s="3804"/>
      <c r="D75" s="355">
        <v>0</v>
      </c>
      <c r="E75" s="39" t="s">
        <v>382</v>
      </c>
      <c r="F75" s="356"/>
      <c r="G75" s="352"/>
      <c r="H75" s="40"/>
      <c r="I75" s="40"/>
      <c r="J75" s="1759"/>
      <c r="K75" s="2515">
        <f>IF(H77="非个人房产","",4)</f>
        <v>4</v>
      </c>
      <c r="L75" s="3788" t="str">
        <f>IF(H77="非个人房产","——","个人所得税")</f>
        <v>个人所得税</v>
      </c>
      <c r="M75" s="3788"/>
      <c r="N75" s="1169">
        <f>D77</f>
        <v>0</v>
      </c>
      <c r="O75" s="1637" t="str">
        <f>E77</f>
        <v>差额计税</v>
      </c>
      <c r="P75" s="1170">
        <f>F77</f>
        <v>0.01</v>
      </c>
      <c r="Q75" s="1752"/>
      <c r="R75" s="1752"/>
      <c r="S75" s="1752"/>
      <c r="T75" s="1752"/>
      <c r="U75" s="1752"/>
      <c r="V75" s="1752"/>
    </row>
    <row r="76" spans="1:22" ht="24.75">
      <c r="A76" s="350" t="s">
        <v>361</v>
      </c>
      <c r="B76" s="3803" t="s">
        <v>384</v>
      </c>
      <c r="C76" s="3845"/>
      <c r="D76" s="353">
        <f ca="1">IF(H76="转让取得",C99,C115)</f>
        <v>173665</v>
      </c>
      <c r="E76" s="15" t="s">
        <v>385</v>
      </c>
      <c r="F76" s="51" t="s">
        <v>15</v>
      </c>
      <c r="G76" s="352"/>
      <c r="H76" s="354"/>
      <c r="I76" s="40"/>
      <c r="J76" s="1759"/>
      <c r="K76" s="2515" t="str">
        <f>IF(项目基本情况!K6="上海银行",IF(K75="",4,K75+1),"")</f>
        <v/>
      </c>
      <c r="L76" s="3799" t="str">
        <f>IF(项目基本情况!K6="上海银行","其他处置费用","")</f>
        <v/>
      </c>
      <c r="M76" s="3800"/>
      <c r="N76" s="1165" t="str">
        <f>IF(项目基本情况!K6="上海银行",N89,"")</f>
        <v/>
      </c>
      <c r="O76" s="3801" t="str">
        <f>IF(项目基本情况!K6="上海银行","包含处置中涉及的律师、诉讼、拍卖、评估等费用","")</f>
        <v/>
      </c>
      <c r="P76" s="3802"/>
      <c r="Q76" s="1752"/>
      <c r="R76" s="1752"/>
      <c r="S76" s="1752"/>
      <c r="T76" s="1752"/>
      <c r="U76" s="1752"/>
      <c r="V76" s="1752"/>
    </row>
    <row r="77" spans="1:22" ht="24.75" thickBot="1">
      <c r="A77" s="3814" t="s">
        <v>387</v>
      </c>
      <c r="B77" s="3815"/>
      <c r="C77" s="3815"/>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10">
        <f>IF(AND(K75="",K76=""),4,IF(项目基本情况!K6="上海银行",K76+1,K75+1))</f>
        <v>5</v>
      </c>
      <c r="L77" s="3788" t="s">
        <v>2158</v>
      </c>
      <c r="M77" s="2520" t="s">
        <v>383</v>
      </c>
      <c r="N77" s="1171"/>
      <c r="O77" s="1172">
        <f ca="1">SUMIF(N72:N76,"&lt;9e307")</f>
        <v>173818</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10"/>
      <c r="L78" s="3788"/>
      <c r="M78" s="2520" t="s">
        <v>386</v>
      </c>
      <c r="N78" s="1171"/>
      <c r="O78" s="1172" t="str">
        <f ca="1">NUMBERSTRING(INT(O77*10000),2)&amp;"元整"</f>
        <v>壹拾柒亿叁仟捌佰壹拾捌万元整</v>
      </c>
      <c r="P78" s="1173"/>
      <c r="Q78" s="1752"/>
      <c r="R78" s="1752"/>
      <c r="S78" s="1752"/>
      <c r="T78" s="1752"/>
      <c r="U78" s="1752"/>
      <c r="V78" s="1752"/>
    </row>
    <row r="79" spans="1:22" ht="13.5" thickBot="1">
      <c r="A79" s="3865" t="s">
        <v>388</v>
      </c>
      <c r="B79" s="3865"/>
      <c r="C79" s="3865"/>
      <c r="D79" s="3865"/>
      <c r="E79" s="3865"/>
      <c r="F79" s="40"/>
      <c r="G79" s="40"/>
      <c r="H79" s="965"/>
      <c r="I79" s="302"/>
      <c r="J79" s="1759"/>
      <c r="K79" s="3786">
        <f>K77+1</f>
        <v>6</v>
      </c>
      <c r="L79" s="3788" t="s">
        <v>2159</v>
      </c>
      <c r="M79" s="2520" t="s">
        <v>383</v>
      </c>
      <c r="N79" s="1171"/>
      <c r="O79" s="1172" t="e">
        <f ca="1">N69-O77</f>
        <v>#VALUE!</v>
      </c>
      <c r="P79" s="1173"/>
      <c r="Q79" s="1752"/>
      <c r="R79" s="1752"/>
      <c r="S79" s="1752"/>
      <c r="T79" s="1752"/>
      <c r="U79" s="1752"/>
      <c r="V79" s="1752"/>
    </row>
    <row r="80" spans="1:22" ht="12.75">
      <c r="A80" s="3796" t="s">
        <v>389</v>
      </c>
      <c r="B80" s="3797"/>
      <c r="C80" s="956"/>
      <c r="D80" s="956" t="s">
        <v>390</v>
      </c>
      <c r="E80" s="357" t="s">
        <v>391</v>
      </c>
      <c r="F80" s="40"/>
      <c r="G80" s="40"/>
      <c r="H80" s="965"/>
      <c r="I80" s="302"/>
      <c r="J80" s="1752"/>
      <c r="K80" s="3787"/>
      <c r="L80" s="3788"/>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291752</v>
      </c>
      <c r="D81" s="360"/>
      <c r="E81" s="361"/>
      <c r="F81" s="40"/>
      <c r="G81" s="40"/>
      <c r="H81" s="965"/>
      <c r="I81" s="302"/>
      <c r="J81" s="1752"/>
      <c r="K81" s="2515">
        <f>K79+1</f>
        <v>7</v>
      </c>
      <c r="L81" s="3808" t="s">
        <v>2160</v>
      </c>
      <c r="M81" s="3809"/>
      <c r="N81" s="1175"/>
      <c r="O81" s="1176" t="e">
        <f ca="1">ROUND(O79*10000/'数据-汇总表'!E3,0)</f>
        <v>#VALUE!</v>
      </c>
      <c r="P81" s="1177"/>
      <c r="Q81" s="1752"/>
      <c r="R81" s="1752"/>
      <c r="S81" s="1752"/>
      <c r="T81" s="1752"/>
      <c r="U81" s="1752"/>
      <c r="V81" s="1752"/>
    </row>
    <row r="82" spans="1:26" ht="13.5" thickTop="1">
      <c r="A82" s="362" t="s">
        <v>1353</v>
      </c>
      <c r="B82" s="363" t="s">
        <v>393</v>
      </c>
      <c r="C82" s="364">
        <f ca="1">D63</f>
        <v>306340</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98"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98"/>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291752</v>
      </c>
      <c r="D85" s="365" t="s">
        <v>13</v>
      </c>
      <c r="E85" s="366"/>
      <c r="F85" s="40"/>
      <c r="G85" s="40"/>
      <c r="H85" s="965"/>
      <c r="I85" s="302"/>
      <c r="J85" s="1752"/>
      <c r="K85" s="3798"/>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16046</v>
      </c>
      <c r="D86" s="376">
        <f>'数据-取费表'!B41</f>
        <v>5.5000000000000007E-2</v>
      </c>
      <c r="E86" s="377"/>
      <c r="F86" s="40"/>
      <c r="G86" s="40"/>
      <c r="H86" s="965"/>
      <c r="I86" s="302"/>
      <c r="J86" s="1752"/>
      <c r="K86" s="3798"/>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98"/>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37" t="s">
        <v>398</v>
      </c>
      <c r="B88" s="3838"/>
      <c r="C88" s="3838"/>
      <c r="D88" s="3838"/>
      <c r="E88" s="3838"/>
      <c r="F88" s="3838"/>
      <c r="G88" s="3838"/>
      <c r="H88" s="3838"/>
      <c r="I88" s="1184"/>
      <c r="J88" s="1760"/>
      <c r="K88" s="3798"/>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96" t="s">
        <v>389</v>
      </c>
      <c r="B89" s="3797"/>
      <c r="C89" s="956"/>
      <c r="D89" s="956" t="s">
        <v>390</v>
      </c>
      <c r="E89" s="378" t="s">
        <v>399</v>
      </c>
      <c r="F89" s="379"/>
      <c r="G89" s="379"/>
      <c r="H89" s="380"/>
      <c r="I89" s="1185"/>
      <c r="J89" s="1762"/>
      <c r="K89" s="3798"/>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291752</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1459</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34" t="s">
        <v>407</v>
      </c>
      <c r="F94" s="3835"/>
      <c r="G94" s="3835"/>
      <c r="H94" s="3836"/>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1459</v>
      </c>
      <c r="D96" s="393">
        <f>'数据-取费表'!B43</f>
        <v>5.000000000000001E-3</v>
      </c>
      <c r="E96" s="3793" t="s">
        <v>1780</v>
      </c>
      <c r="F96" s="3794"/>
      <c r="G96" s="3794"/>
      <c r="H96" s="379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290293</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198.96710075394105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173665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37" t="s">
        <v>414</v>
      </c>
      <c r="B101" s="3838"/>
      <c r="C101" s="3838"/>
      <c r="D101" s="3838"/>
      <c r="E101" s="3838"/>
      <c r="F101" s="3838"/>
      <c r="G101" s="3838"/>
      <c r="H101" s="3838"/>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6" t="s">
        <v>389</v>
      </c>
      <c r="B102" s="379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291752</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1459</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49" t="s">
        <v>2252</v>
      </c>
      <c r="H108" s="3850"/>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27" t="s">
        <v>422</v>
      </c>
      <c r="F109" s="3794"/>
      <c r="G109" s="379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27" t="s">
        <v>424</v>
      </c>
      <c r="F110" s="3794"/>
      <c r="G110" s="3794"/>
      <c r="H110" s="3795"/>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1459</v>
      </c>
      <c r="D111" s="393">
        <f>'数据-取费表'!B43</f>
        <v>5.000000000000001E-3</v>
      </c>
      <c r="E111" s="3793" t="s">
        <v>1780</v>
      </c>
      <c r="F111" s="3794"/>
      <c r="G111" s="3794"/>
      <c r="H111" s="379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27" t="s">
        <v>1799</v>
      </c>
      <c r="F112" s="3794"/>
      <c r="G112" s="3794"/>
      <c r="H112" s="379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290293</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198.96710075394105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173665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108">
    <cfRule type="expression" dxfId="176" priority="3" stopIfTrue="1">
      <formula>$H$106&lt;&gt;"仅含出让金"</formula>
    </cfRule>
  </conditionalFormatting>
  <conditionalFormatting sqref="C109">
    <cfRule type="expression" dxfId="175" priority="2" stopIfTrue="1">
      <formula>$H$109="由企业提供"</formula>
    </cfRule>
  </conditionalFormatting>
  <conditionalFormatting sqref="I33">
    <cfRule type="expression" dxfId="17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8" zoomScale="90" zoomScaleNormal="60" zoomScaleSheetLayoutView="90" workbookViewId="0">
      <selection activeCell="D23" sqref="D2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915</v>
      </c>
      <c r="D1" s="1341">
        <f>SUM(D33:D34,D37:D42)</f>
        <v>371200</v>
      </c>
      <c r="E1" s="1261" t="s">
        <v>1779</v>
      </c>
      <c r="F1" s="2105">
        <f>'数据-汇总表'!D3</f>
        <v>185600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75">
      <c r="A2" s="1261" t="s">
        <v>848</v>
      </c>
      <c r="B2" s="991">
        <f>C30</f>
        <v>152266</v>
      </c>
      <c r="C2" s="1262" t="s">
        <v>849</v>
      </c>
      <c r="D2" s="1263" t="s">
        <v>833</v>
      </c>
      <c r="E2" s="1264" t="s">
        <v>2741</v>
      </c>
      <c r="F2" s="1263" t="s">
        <v>834</v>
      </c>
      <c r="G2" s="1457" t="str">
        <f>IF(E2="商业",项目基本情况!B43,IF(E2="办公",项目基本情况!C43,IF(E2="住宅",项目基本情况!D43,IF(E2="工业",项目基本情况!E43,项目基本情况!F43))))</f>
        <v>十级</v>
      </c>
      <c r="H2" s="1263" t="s">
        <v>854</v>
      </c>
      <c r="I2" s="1458" t="str">
        <f>IF(E2="商业",项目基本情况!B44,IF(E2="办公",项目基本情况!C44,IF(E2="住宅",项目基本情况!D44,IF(E2="工业",项目基本情况!E44,项目基本情况!F44))))</f>
        <v>Ⅹ-顺2</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1.5418000000000001</v>
      </c>
      <c r="T2" s="2416">
        <f>ROUND($C$5*$C$22*$C$23*$C$24*S2*$C$28,0)</f>
        <v>6324</v>
      </c>
      <c r="U2" s="2406"/>
      <c r="V2" s="2416">
        <f>ROUND(T2*U2/10000,0)</f>
        <v>0</v>
      </c>
      <c r="W2" s="1911"/>
      <c r="X2" s="1911"/>
      <c r="Y2" s="1911"/>
      <c r="Z2" s="1911"/>
      <c r="AA2" s="1911"/>
      <c r="AB2" s="1911"/>
      <c r="AC2" s="1912"/>
    </row>
    <row r="3" spans="1:39" ht="15.75">
      <c r="A3" s="1266" t="s">
        <v>1220</v>
      </c>
      <c r="B3" s="991">
        <f>ROUND(B2*10000/D1,0)</f>
        <v>4102</v>
      </c>
      <c r="C3" s="1262" t="s">
        <v>855</v>
      </c>
      <c r="D3" s="1263" t="s">
        <v>856</v>
      </c>
      <c r="E3" s="1267" t="s">
        <v>2463</v>
      </c>
      <c r="F3" s="1268" t="s">
        <v>3381</v>
      </c>
      <c r="G3" s="992">
        <f>IF(F3="宗地容积率",'数据-汇总表'!I4,IF(F3="估价对象容积率",'数据-汇总表'!I6,'数据-汇总表'!I7))</f>
        <v>2</v>
      </c>
      <c r="H3" s="1269" t="s">
        <v>857</v>
      </c>
      <c r="I3" s="993">
        <v>1</v>
      </c>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1.1883999999999999</v>
      </c>
      <c r="T3" s="2416">
        <f t="shared" ref="T3:T16" si="0">ROUND($C$5*$C$22*$C$23*$C$24*S3*$C$28,0)</f>
        <v>4874</v>
      </c>
      <c r="U3" s="2406"/>
      <c r="V3" s="2416">
        <f t="shared" ref="V3:V16" si="1">ROUND(T3*U3/10000,0)</f>
        <v>0</v>
      </c>
      <c r="W3" s="1911"/>
      <c r="X3" s="1911"/>
      <c r="Y3" s="1911"/>
      <c r="Z3" s="1911"/>
      <c r="AA3" s="1911"/>
      <c r="AB3" s="1911"/>
      <c r="AC3" s="1912"/>
    </row>
    <row r="4" spans="1:39" ht="28.5">
      <c r="A4" s="1647" t="s">
        <v>1638</v>
      </c>
      <c r="B4" s="2106">
        <f>ROUND(B2*10000/F1,0)</f>
        <v>8204</v>
      </c>
      <c r="C4" s="1650" t="s">
        <v>1613</v>
      </c>
      <c r="D4" s="1650">
        <f>ROUND(B2/(F1/666.67),0)</f>
        <v>547</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0.96940000000000004</v>
      </c>
      <c r="T4" s="2416">
        <f t="shared" si="0"/>
        <v>3976</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3995</v>
      </c>
      <c r="D5" s="2548">
        <f>ROUND(C6*C17+C20,0)</f>
        <v>3995</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0.82299999999999995</v>
      </c>
      <c r="T5" s="2416">
        <f t="shared" si="0"/>
        <v>3376</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3960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0.74980000000000002</v>
      </c>
      <c r="T6" s="2416">
        <f t="shared" si="0"/>
        <v>3075</v>
      </c>
      <c r="U6" s="2406"/>
      <c r="V6" s="2416">
        <f t="shared" si="1"/>
        <v>0</v>
      </c>
      <c r="W6" s="1911"/>
      <c r="X6" s="1911"/>
      <c r="Y6" s="1911"/>
      <c r="Z6" s="1911"/>
      <c r="AA6" s="1911"/>
      <c r="AB6" s="1911"/>
      <c r="AC6" s="1913"/>
      <c r="AD6" s="1274"/>
      <c r="AE6" s="1274"/>
      <c r="AF6" s="1274"/>
      <c r="AG6" s="1274"/>
      <c r="AH6" s="1274"/>
      <c r="AI6" s="1274"/>
      <c r="AJ6" s="1275"/>
    </row>
    <row r="7" spans="1:39" ht="24.75" thickBot="1">
      <c r="A7" s="3526" t="s">
        <v>1396</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68" t="s">
        <v>2046</v>
      </c>
      <c r="X7" s="2407" t="str">
        <f>G2</f>
        <v>十级</v>
      </c>
      <c r="Y7" s="2407" t="s">
        <v>2047</v>
      </c>
      <c r="Z7" s="2408">
        <f>G3</f>
        <v>2</v>
      </c>
      <c r="AA7" s="1914"/>
      <c r="AB7" s="1914"/>
      <c r="AC7" s="1915"/>
      <c r="AD7" s="2409"/>
      <c r="AE7" s="2409"/>
      <c r="AF7" s="2409"/>
      <c r="AG7" s="2409"/>
      <c r="AH7" s="2409"/>
      <c r="AI7" s="2409"/>
      <c r="AJ7" s="2410"/>
    </row>
    <row r="8" spans="1:39" ht="25.5">
      <c r="A8" s="3532"/>
      <c r="B8" s="1269" t="s">
        <v>862</v>
      </c>
      <c r="C8" s="3533" t="s">
        <v>3382</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74" t="s">
        <v>2060</v>
      </c>
      <c r="X8" s="387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76"/>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3960</v>
      </c>
      <c r="N10" s="1643">
        <f>SUMPRODUCT((因素修正幅度!B327:B357=I2)*(因素修正幅度!C3:G3=E2)*(因素修正幅度!C327:G357))</f>
        <v>0.15</v>
      </c>
      <c r="O10" s="2978"/>
      <c r="P10" s="1911"/>
      <c r="Q10" s="1911"/>
      <c r="R10" s="2416">
        <v>9</v>
      </c>
      <c r="S10" s="2406"/>
      <c r="T10" s="2416">
        <f t="shared" si="0"/>
        <v>0</v>
      </c>
      <c r="U10" s="2406"/>
      <c r="V10" s="2416">
        <f t="shared" si="1"/>
        <v>0</v>
      </c>
      <c r="W10" s="387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1367</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1368</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1369</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7" t="s">
        <v>1370</v>
      </c>
      <c r="B20" s="1278" t="s">
        <v>875</v>
      </c>
      <c r="C20" s="998">
        <f>ROUND(IF(F21="与级别开发程度一致",0,(G21-E21)/C21),0)</f>
        <v>35</v>
      </c>
      <c r="D20" s="3879" t="s">
        <v>879</v>
      </c>
      <c r="E20" s="3880"/>
      <c r="F20" s="3879" t="s">
        <v>876</v>
      </c>
      <c r="G20" s="3880"/>
      <c r="H20" s="1291" t="s">
        <v>2768</v>
      </c>
      <c r="I20" s="1291" t="s">
        <v>2769</v>
      </c>
      <c r="J20" s="1291" t="s">
        <v>2770</v>
      </c>
      <c r="K20" s="1291" t="s">
        <v>2771</v>
      </c>
      <c r="L20" s="1291" t="s">
        <v>2772</v>
      </c>
      <c r="M20" s="1291" t="s">
        <v>2773</v>
      </c>
      <c r="N20" s="1291" t="s">
        <v>2774</v>
      </c>
      <c r="O20" s="2606" t="s">
        <v>2775</v>
      </c>
      <c r="P20" s="1911"/>
      <c r="Q20" s="1914"/>
      <c r="R20" s="1917"/>
      <c r="S20" s="1917"/>
      <c r="T20" s="1917"/>
      <c r="U20" s="1917"/>
      <c r="V20" s="1917"/>
      <c r="W20" s="1917"/>
      <c r="X20" s="1917"/>
      <c r="Y20" s="1295"/>
      <c r="Z20" s="1295"/>
      <c r="AA20" s="1295"/>
      <c r="AB20" s="1295"/>
      <c r="AC20" s="1295"/>
      <c r="AD20" s="1295"/>
    </row>
    <row r="21" spans="1:40" s="1276" customFormat="1" ht="24.75" thickBot="1">
      <c r="A21" s="3878"/>
      <c r="B21" s="2607" t="s">
        <v>878</v>
      </c>
      <c r="C21" s="2608">
        <f>IF(E3="M4科研用地",SUMPRODUCT((修正!A2:A7=E3)*(修正!B1:M1=G2)*(修正!B2:M7)),SUMPRODUCT((修正!A2:A7=E2)*(修正!B1:M1=G2)*(修正!B2:M7)))</f>
        <v>2</v>
      </c>
      <c r="D21" s="2609" t="str">
        <f>IF(OR(G2="八级",G2="九级",G2="十级",G2="十一级",G2="十二级"),"五通一平","七通一平")</f>
        <v>五通一平</v>
      </c>
      <c r="E21" s="2599">
        <f>SUMPRODUCT((修正!B1:M1=G2)*(修正!B17:M17))</f>
        <v>185</v>
      </c>
      <c r="F21" s="2600" t="s">
        <v>3391</v>
      </c>
      <c r="G21" s="2599">
        <f>SUM(H21:O21)</f>
        <v>255</v>
      </c>
      <c r="H21" s="997">
        <f>SUMPRODUCT((七通一平=H20)*(修正!B1:M1=G2)*(修正!B8:M16))</f>
        <v>60</v>
      </c>
      <c r="I21" s="997">
        <f>SUMPRODUCT((七通一平=I20)*(修正!B1:M1=G2)*(修正!B8:M16))</f>
        <v>50</v>
      </c>
      <c r="J21" s="997">
        <f>SUMPRODUCT((七通一平=J20)*(修正!B1:M1=G2)*(修正!B8:M16))</f>
        <v>10</v>
      </c>
      <c r="K21" s="997">
        <f>SUMPRODUCT((七通一平=K20)*(修正!B1:M1=G2)*(修正!B8:M16))</f>
        <v>20</v>
      </c>
      <c r="L21" s="997">
        <f>SUMPRODUCT((七通一平=L20)*(修正!B1:M1=G2)*(修正!B8:M16))</f>
        <v>35</v>
      </c>
      <c r="M21" s="997">
        <f>SUMPRODUCT((七通一平=M20)*(修正!B1:M1=G2)*(修正!B8:M16))</f>
        <v>40</v>
      </c>
      <c r="N21" s="997">
        <f>SUMPRODUCT((七通一平=N20)*(修正!B1:M1=G2)*(修正!B8:M16))</f>
        <v>30</v>
      </c>
      <c r="O21" s="2610">
        <f>SUMPRODUCT((七通一平=O20)*(修正!B1:M1=G2)*(修正!B8:M16))</f>
        <v>10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1355</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1356</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1.0266999999999999</v>
      </c>
      <c r="D23" s="1297" t="s">
        <v>882</v>
      </c>
      <c r="E23" s="1000">
        <v>44197</v>
      </c>
      <c r="F23" s="1297" t="s">
        <v>883</v>
      </c>
      <c r="G23" s="1001">
        <f>'数据-取费表'!B2</f>
        <v>44994</v>
      </c>
      <c r="H23" s="1298" t="s">
        <v>2247</v>
      </c>
      <c r="I23" s="2266" t="str">
        <f>IF(H23="季度增幅（自定义）",SUMIF(N25:N28,E2,O25:O28),"")</f>
        <v/>
      </c>
      <c r="J23" s="3567" t="s">
        <v>3386</v>
      </c>
      <c r="K23" s="2977"/>
      <c r="L23" s="2511" t="s">
        <v>2116</v>
      </c>
      <c r="M23" s="2512">
        <f>ROUND(SUMIF(地价!B2:F2,E2,地价!B41:F41),0)</f>
        <v>258</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1357</v>
      </c>
      <c r="B24" s="2261" t="s">
        <v>896</v>
      </c>
      <c r="C24" s="2262">
        <f>ROUND(POWER(1+G24,J24-I24)*(POWER(1+G24,I24)-1)/(POWER(1+G24,J24)-1),4)</f>
        <v>1</v>
      </c>
      <c r="D24" s="2263" t="s">
        <v>897</v>
      </c>
      <c r="E24" s="2540">
        <f>存贷款利率!E22/100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353</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1</v>
      </c>
      <c r="E26" s="992">
        <f>ROUNDDOWN(G3,1)</f>
        <v>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1.5418000000000001</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152266</v>
      </c>
      <c r="D30" s="1312"/>
      <c r="E30" s="1290"/>
      <c r="F30" s="1313"/>
      <c r="G30" s="1290"/>
      <c r="H30" s="1290"/>
      <c r="I30" s="1290"/>
      <c r="J30" s="1314"/>
      <c r="K30" s="2978"/>
      <c r="L30" s="1407" t="s">
        <v>833</v>
      </c>
      <c r="M30" s="1279" t="s">
        <v>900</v>
      </c>
      <c r="N30" s="1279" t="s">
        <v>902</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4102</v>
      </c>
      <c r="D33" s="1326">
        <f>'数据-汇总表'!E3</f>
        <v>371200</v>
      </c>
      <c r="E33" s="1635">
        <f>ROUND(C33*D33/10000,0)</f>
        <v>152266</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1026</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72"/>
      <c r="B37" s="1344" t="s">
        <v>923</v>
      </c>
      <c r="C37" s="1005">
        <f>ROUND(D5*C22*C23*C24*C28*F37,0)</f>
        <v>2051</v>
      </c>
      <c r="D37" s="1356"/>
      <c r="E37" s="996">
        <f>ROUND(C37*D37/10000,0)</f>
        <v>0</v>
      </c>
      <c r="F37" s="996">
        <f>SUMIF(修正!A57:A68,G2,修正!B57:B68)</f>
        <v>0.5</v>
      </c>
      <c r="G37" s="996">
        <f>ROUND(IF(E2="工业",C37*$M$42,C37*$M$41),0)</f>
        <v>513</v>
      </c>
      <c r="H37" s="996">
        <f>D37</f>
        <v>0</v>
      </c>
      <c r="I37" s="996">
        <f>ROUND(G37*H37/10000,0)</f>
        <v>0</v>
      </c>
      <c r="J37" s="3872"/>
      <c r="K37" s="3642" t="s">
        <v>3246</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73"/>
      <c r="B38" s="1288" t="s">
        <v>924</v>
      </c>
      <c r="C38" s="1005">
        <f>ROUND(D5*C22*C23*C24*C28*F38,0)</f>
        <v>820</v>
      </c>
      <c r="D38" s="1356"/>
      <c r="E38" s="996">
        <f t="shared" ref="E38:E42" si="4">ROUND(C38*D38/10000,0)</f>
        <v>0</v>
      </c>
      <c r="F38" s="996">
        <f>SUMIF(修正!A57:A68,G2,修正!C57:C68)</f>
        <v>0.2</v>
      </c>
      <c r="G38" s="996">
        <f>ROUND(IF(E2="工业",C38*$M$42,C38*$M$41),0)</f>
        <v>205</v>
      </c>
      <c r="H38" s="996">
        <f t="shared" ref="H38:H42" si="5">D38</f>
        <v>0</v>
      </c>
      <c r="I38" s="996">
        <f t="shared" ref="I38:I42" si="6">ROUND(G38*H38/10000,0)</f>
        <v>0</v>
      </c>
      <c r="J38" s="3873"/>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73"/>
      <c r="B39" s="3571" t="s">
        <v>3219</v>
      </c>
      <c r="C39" s="1005">
        <f>ROUND(D5*C22*C23*C24*C28*F39,0)</f>
        <v>820</v>
      </c>
      <c r="D39" s="1356"/>
      <c r="E39" s="996">
        <f t="shared" si="4"/>
        <v>0</v>
      </c>
      <c r="F39" s="996">
        <f>SUMIF(修正!A57:A68,G2,修正!D57:D68)</f>
        <v>0.2</v>
      </c>
      <c r="G39" s="996">
        <f>ROUND(IF(E2="工业",C39*$M$42,C39*$M$41),0)</f>
        <v>205</v>
      </c>
      <c r="H39" s="996">
        <f t="shared" si="5"/>
        <v>0</v>
      </c>
      <c r="I39" s="996">
        <f t="shared" si="6"/>
        <v>0</v>
      </c>
      <c r="J39" s="387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820</v>
      </c>
      <c r="D40" s="1356"/>
      <c r="E40" s="996">
        <f t="shared" si="4"/>
        <v>0</v>
      </c>
      <c r="F40" s="1005">
        <f>SUMIF(修正!A57:A68,G2,修正!E57:E68)</f>
        <v>0.2</v>
      </c>
      <c r="G40" s="996">
        <f>ROUND(IF(E2="工业",C40*$M$42,C40*$M$41),0)</f>
        <v>205</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820</v>
      </c>
      <c r="D41" s="1356"/>
      <c r="E41" s="996">
        <f t="shared" si="4"/>
        <v>0</v>
      </c>
      <c r="F41" s="1005">
        <f>SUMIF(修正!A57:A68,G2,修正!F57:F68)</f>
        <v>0.2</v>
      </c>
      <c r="G41" s="996">
        <f>ROUND(IF(E2="工业",C41*$M$42,C41*$M$41),0)</f>
        <v>205</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410</v>
      </c>
      <c r="D42" s="1357"/>
      <c r="E42" s="997">
        <f t="shared" si="4"/>
        <v>0</v>
      </c>
      <c r="F42" s="1007">
        <f>SUMIF(修正!A57:A68,G2,修正!G57:G68)</f>
        <v>0.1</v>
      </c>
      <c r="G42" s="997">
        <f>ROUND(IF(E2="工业",C42*$M$42,C42*$M$41),0)</f>
        <v>103</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1</v>
      </c>
      <c r="D44" s="365" t="s">
        <v>2241</v>
      </c>
      <c r="E44" s="2587">
        <f>G24</f>
        <v>5.5E-2</v>
      </c>
      <c r="F44" s="365" t="s">
        <v>2242</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900</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664"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3390</v>
      </c>
      <c r="D50" s="3599">
        <f t="shared" ref="D50:D58" si="7">SUMIF($J$49:$N$49,C50,J50:N50)</f>
        <v>0</v>
      </c>
      <c r="E50" s="3600">
        <f>ROUND(SUM(D50:D58),4)</f>
        <v>0</v>
      </c>
      <c r="F50" s="3601">
        <f>IF(E2="商业",SUMIF(L1:L12,G2,N1:N12),"——")</f>
        <v>0.15</v>
      </c>
      <c r="G50" s="3602">
        <f>H50</f>
        <v>2.2499999999999999E-2</v>
      </c>
      <c r="H50" s="3603">
        <f t="shared" ref="H50:H58" si="8">IFERROR(ROUNDDOWN(($F$50*I50/2),4),"——")</f>
        <v>2.2499999999999999E-2</v>
      </c>
      <c r="I50" s="3577">
        <v>0.3</v>
      </c>
      <c r="J50" s="3604">
        <f t="shared" ref="J50:J58" si="9">K50+$G50</f>
        <v>4.4999999999999998E-2</v>
      </c>
      <c r="K50" s="3604">
        <f t="shared" ref="K50:K58" si="10">$L50+$G50</f>
        <v>2.2499999999999999E-2</v>
      </c>
      <c r="L50" s="3604">
        <v>0</v>
      </c>
      <c r="M50" s="3604">
        <f t="shared" ref="M50:N58" si="11">L50-$G50</f>
        <v>-2.2499999999999999E-2</v>
      </c>
      <c r="N50" s="3604">
        <f t="shared" si="11"/>
        <v>-4.4999999999999998E-2</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3390</v>
      </c>
      <c r="D51" s="3599">
        <f t="shared" si="7"/>
        <v>0</v>
      </c>
      <c r="E51" s="3605"/>
      <c r="F51" s="3601"/>
      <c r="G51" s="3602">
        <f t="shared" ref="G51:G58" si="12">H51</f>
        <v>1.6500000000000001E-2</v>
      </c>
      <c r="H51" s="3603">
        <f t="shared" si="8"/>
        <v>1.6500000000000001E-2</v>
      </c>
      <c r="I51" s="3577">
        <v>0.22</v>
      </c>
      <c r="J51" s="3604">
        <f t="shared" si="9"/>
        <v>3.3000000000000002E-2</v>
      </c>
      <c r="K51" s="3604">
        <f t="shared" si="10"/>
        <v>1.6500000000000001E-2</v>
      </c>
      <c r="L51" s="3604">
        <v>0</v>
      </c>
      <c r="M51" s="3604">
        <f t="shared" si="11"/>
        <v>-1.6500000000000001E-2</v>
      </c>
      <c r="N51" s="3604">
        <f t="shared" si="11"/>
        <v>-3.3000000000000002E-2</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t="s">
        <v>3390</v>
      </c>
      <c r="D52" s="3599">
        <f t="shared" si="7"/>
        <v>0</v>
      </c>
      <c r="E52" s="3605"/>
      <c r="F52" s="3601"/>
      <c r="G52" s="3602">
        <f t="shared" si="12"/>
        <v>8.9999999999999993E-3</v>
      </c>
      <c r="H52" s="3603">
        <f t="shared" si="8"/>
        <v>8.9999999999999993E-3</v>
      </c>
      <c r="I52" s="3577">
        <v>0.12</v>
      </c>
      <c r="J52" s="3604">
        <f t="shared" si="9"/>
        <v>1.7999999999999999E-2</v>
      </c>
      <c r="K52" s="3604">
        <f t="shared" si="10"/>
        <v>8.9999999999999993E-3</v>
      </c>
      <c r="L52" s="3604">
        <v>0</v>
      </c>
      <c r="M52" s="3604">
        <f t="shared" si="11"/>
        <v>-8.9999999999999993E-3</v>
      </c>
      <c r="N52" s="3604">
        <f t="shared" si="11"/>
        <v>-1.7999999999999999E-2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3390</v>
      </c>
      <c r="D53" s="3599">
        <f t="shared" si="7"/>
        <v>0</v>
      </c>
      <c r="E53" s="3605"/>
      <c r="F53" s="3601"/>
      <c r="G53" s="3602">
        <f t="shared" si="12"/>
        <v>3.7000000000000002E-3</v>
      </c>
      <c r="H53" s="3603">
        <f t="shared" si="8"/>
        <v>3.7000000000000002E-3</v>
      </c>
      <c r="I53" s="3577">
        <v>0.05</v>
      </c>
      <c r="J53" s="3604">
        <f t="shared" si="9"/>
        <v>7.4000000000000003E-3</v>
      </c>
      <c r="K53" s="3604">
        <f t="shared" si="10"/>
        <v>3.7000000000000002E-3</v>
      </c>
      <c r="L53" s="3604">
        <v>0</v>
      </c>
      <c r="M53" s="3604">
        <f t="shared" si="11"/>
        <v>-3.7000000000000002E-3</v>
      </c>
      <c r="N53" s="3604">
        <f t="shared" si="11"/>
        <v>-7.4000000000000003E-3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3390</v>
      </c>
      <c r="D54" s="3599">
        <f t="shared" si="7"/>
        <v>0</v>
      </c>
      <c r="E54" s="3605"/>
      <c r="F54" s="3601"/>
      <c r="G54" s="3602">
        <f t="shared" si="12"/>
        <v>6.0000000000000001E-3</v>
      </c>
      <c r="H54" s="3603">
        <f t="shared" si="8"/>
        <v>6.0000000000000001E-3</v>
      </c>
      <c r="I54" s="3577">
        <v>0.08</v>
      </c>
      <c r="J54" s="3604">
        <f t="shared" si="9"/>
        <v>1.2E-2</v>
      </c>
      <c r="K54" s="3604">
        <f t="shared" si="10"/>
        <v>6.0000000000000001E-3</v>
      </c>
      <c r="L54" s="3604">
        <v>0</v>
      </c>
      <c r="M54" s="3604">
        <f t="shared" si="11"/>
        <v>-6.0000000000000001E-3</v>
      </c>
      <c r="N54" s="3604">
        <f t="shared" si="11"/>
        <v>-1.2E-2</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t="s">
        <v>3390</v>
      </c>
      <c r="D55" s="3599">
        <f t="shared" si="7"/>
        <v>0</v>
      </c>
      <c r="E55" s="3605"/>
      <c r="F55" s="3601"/>
      <c r="G55" s="3602">
        <f t="shared" si="12"/>
        <v>3.7000000000000002E-3</v>
      </c>
      <c r="H55" s="3603">
        <f t="shared" si="8"/>
        <v>3.7000000000000002E-3</v>
      </c>
      <c r="I55" s="3577">
        <v>0.05</v>
      </c>
      <c r="J55" s="3604">
        <f t="shared" si="9"/>
        <v>7.4000000000000003E-3</v>
      </c>
      <c r="K55" s="3604">
        <f t="shared" si="10"/>
        <v>3.7000000000000002E-3</v>
      </c>
      <c r="L55" s="3604">
        <v>0</v>
      </c>
      <c r="M55" s="3604">
        <f t="shared" si="11"/>
        <v>-3.7000000000000002E-3</v>
      </c>
      <c r="N55" s="3604">
        <f t="shared" si="11"/>
        <v>-7.4000000000000003E-3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3390</v>
      </c>
      <c r="D56" s="3599">
        <f t="shared" si="7"/>
        <v>0</v>
      </c>
      <c r="E56" s="3605"/>
      <c r="F56" s="3601"/>
      <c r="G56" s="3602">
        <f t="shared" si="12"/>
        <v>3.7000000000000002E-3</v>
      </c>
      <c r="H56" s="3603">
        <f t="shared" si="8"/>
        <v>3.7000000000000002E-3</v>
      </c>
      <c r="I56" s="3577">
        <v>0.05</v>
      </c>
      <c r="J56" s="3604">
        <f t="shared" si="9"/>
        <v>7.4000000000000003E-3</v>
      </c>
      <c r="K56" s="3604">
        <f t="shared" si="10"/>
        <v>3.7000000000000002E-3</v>
      </c>
      <c r="L56" s="3604">
        <v>0</v>
      </c>
      <c r="M56" s="3604">
        <f t="shared" si="11"/>
        <v>-3.7000000000000002E-3</v>
      </c>
      <c r="N56" s="3604">
        <f t="shared" si="11"/>
        <v>-7.4000000000000003E-3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3390</v>
      </c>
      <c r="D57" s="3599">
        <f t="shared" si="7"/>
        <v>0</v>
      </c>
      <c r="E57" s="3605"/>
      <c r="F57" s="3601"/>
      <c r="G57" s="3602">
        <f t="shared" si="12"/>
        <v>6.0000000000000001E-3</v>
      </c>
      <c r="H57" s="3603">
        <f t="shared" si="8"/>
        <v>6.0000000000000001E-3</v>
      </c>
      <c r="I57" s="3577">
        <v>0.08</v>
      </c>
      <c r="J57" s="3604">
        <f t="shared" si="9"/>
        <v>1.2E-2</v>
      </c>
      <c r="K57" s="3604">
        <f t="shared" si="10"/>
        <v>6.0000000000000001E-3</v>
      </c>
      <c r="L57" s="3604">
        <v>0</v>
      </c>
      <c r="M57" s="3604">
        <f t="shared" si="11"/>
        <v>-6.0000000000000001E-3</v>
      </c>
      <c r="N57" s="3604">
        <f t="shared" si="11"/>
        <v>-1.2E-2</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3390</v>
      </c>
      <c r="D58" s="3599">
        <f t="shared" si="7"/>
        <v>0</v>
      </c>
      <c r="E58" s="3612"/>
      <c r="F58" s="3601"/>
      <c r="G58" s="3602">
        <f t="shared" si="12"/>
        <v>3.7000000000000002E-3</v>
      </c>
      <c r="H58" s="3603">
        <f t="shared" si="8"/>
        <v>3.7000000000000002E-3</v>
      </c>
      <c r="I58" s="3579">
        <v>0.05</v>
      </c>
      <c r="J58" s="3604">
        <f t="shared" si="9"/>
        <v>7.4000000000000003E-3</v>
      </c>
      <c r="K58" s="3604">
        <f t="shared" si="10"/>
        <v>3.7000000000000002E-3</v>
      </c>
      <c r="L58" s="3604">
        <v>0</v>
      </c>
      <c r="M58" s="3604">
        <f t="shared" si="11"/>
        <v>-3.7000000000000002E-3</v>
      </c>
      <c r="N58" s="3604">
        <f t="shared" si="11"/>
        <v>-7.4000000000000003E-3</v>
      </c>
      <c r="P58" s="1920"/>
      <c r="Q58" s="1920"/>
      <c r="R58" s="1920"/>
      <c r="S58" s="1920"/>
      <c r="T58" s="1920"/>
      <c r="U58" s="1920"/>
      <c r="V58" s="1920"/>
      <c r="W58" s="1920"/>
      <c r="X58" s="1920"/>
      <c r="Y58" s="1920"/>
      <c r="Z58" s="1920"/>
      <c r="AA58" s="1920"/>
      <c r="AB58" s="1920"/>
      <c r="AC58" s="1920"/>
      <c r="AD58" s="1920"/>
    </row>
    <row r="59" spans="1:30" s="3584" customFormat="1" ht="15">
      <c r="A59" s="3585" t="s">
        <v>902</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64" t="s">
        <v>1609</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3">SUMIF($J$60:$N$60,C61,J61:N61)</f>
        <v>0</v>
      </c>
      <c r="E61" s="3600">
        <f>ROUND(SUM(D61:D69),4)</f>
        <v>0</v>
      </c>
      <c r="F61" s="3601" t="str">
        <f>IF(E2="办公",SUMIF(L1:L12,G2,N1:N12),"——")</f>
        <v>——</v>
      </c>
      <c r="G61" s="3602"/>
      <c r="H61" s="3603" t="str">
        <f>IFERROR(ROUNDDOWN($F$61*I61/2,4),"——")</f>
        <v>——</v>
      </c>
      <c r="I61" s="3577">
        <v>0.25</v>
      </c>
      <c r="J61" s="3604">
        <f t="shared" ref="J61:J69" si="14">K61+$G61</f>
        <v>0</v>
      </c>
      <c r="K61" s="3604">
        <f t="shared" ref="K61:K69" si="15">$L61+$G61</f>
        <v>0</v>
      </c>
      <c r="L61" s="3604">
        <v>0</v>
      </c>
      <c r="M61" s="3604">
        <f t="shared" ref="M61:N69" si="16">L61-$G61</f>
        <v>0</v>
      </c>
      <c r="N61" s="3604">
        <f t="shared" si="16"/>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3"/>
        <v>0</v>
      </c>
      <c r="E62" s="3605"/>
      <c r="F62" s="3601"/>
      <c r="G62" s="3602"/>
      <c r="H62" s="3603" t="str">
        <f t="shared" ref="H62:H69" si="17">IFERROR(ROUNDDOWN($F$61*I62/2,4),"——")</f>
        <v>——</v>
      </c>
      <c r="I62" s="3577">
        <v>0.26</v>
      </c>
      <c r="J62" s="3604">
        <f t="shared" si="14"/>
        <v>0</v>
      </c>
      <c r="K62" s="3604">
        <f t="shared" si="15"/>
        <v>0</v>
      </c>
      <c r="L62" s="3604">
        <v>0</v>
      </c>
      <c r="M62" s="3604">
        <f t="shared" si="16"/>
        <v>0</v>
      </c>
      <c r="N62" s="3604">
        <f t="shared" si="16"/>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3"/>
        <v>0</v>
      </c>
      <c r="E63" s="3605"/>
      <c r="F63" s="3601"/>
      <c r="G63" s="3602"/>
      <c r="H63" s="3603" t="str">
        <f t="shared" si="17"/>
        <v>——</v>
      </c>
      <c r="I63" s="3577">
        <v>0.11</v>
      </c>
      <c r="J63" s="3604">
        <f t="shared" si="14"/>
        <v>0</v>
      </c>
      <c r="K63" s="3604">
        <f t="shared" si="15"/>
        <v>0</v>
      </c>
      <c r="L63" s="3604">
        <v>0</v>
      </c>
      <c r="M63" s="3604">
        <f t="shared" si="16"/>
        <v>0</v>
      </c>
      <c r="N63" s="3604">
        <f t="shared" si="16"/>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3"/>
        <v>0</v>
      </c>
      <c r="E64" s="3605"/>
      <c r="F64" s="3601"/>
      <c r="G64" s="3602"/>
      <c r="H64" s="3603" t="str">
        <f t="shared" si="17"/>
        <v>——</v>
      </c>
      <c r="I64" s="3577">
        <v>0.05</v>
      </c>
      <c r="J64" s="3604">
        <f t="shared" si="14"/>
        <v>0</v>
      </c>
      <c r="K64" s="3604">
        <f t="shared" si="15"/>
        <v>0</v>
      </c>
      <c r="L64" s="3604">
        <v>0</v>
      </c>
      <c r="M64" s="3604">
        <f t="shared" si="16"/>
        <v>0</v>
      </c>
      <c r="N64" s="3604">
        <f t="shared" si="16"/>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3"/>
        <v>0</v>
      </c>
      <c r="E65" s="3605"/>
      <c r="F65" s="3601"/>
      <c r="G65" s="3602"/>
      <c r="H65" s="3603" t="str">
        <f t="shared" si="17"/>
        <v>——</v>
      </c>
      <c r="I65" s="3577">
        <v>0.05</v>
      </c>
      <c r="J65" s="3604">
        <f t="shared" si="14"/>
        <v>0</v>
      </c>
      <c r="K65" s="3604">
        <f t="shared" si="15"/>
        <v>0</v>
      </c>
      <c r="L65" s="3604">
        <v>0</v>
      </c>
      <c r="M65" s="3604">
        <f t="shared" si="16"/>
        <v>0</v>
      </c>
      <c r="N65" s="3604">
        <f t="shared" si="16"/>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3"/>
        <v>0</v>
      </c>
      <c r="E66" s="3605"/>
      <c r="F66" s="3601"/>
      <c r="G66" s="3602"/>
      <c r="H66" s="3603" t="str">
        <f t="shared" si="17"/>
        <v>——</v>
      </c>
      <c r="I66" s="3577">
        <v>0.06</v>
      </c>
      <c r="J66" s="3604">
        <f t="shared" si="14"/>
        <v>0</v>
      </c>
      <c r="K66" s="3604">
        <f t="shared" si="15"/>
        <v>0</v>
      </c>
      <c r="L66" s="3604">
        <v>0</v>
      </c>
      <c r="M66" s="3604">
        <f t="shared" si="16"/>
        <v>0</v>
      </c>
      <c r="N66" s="3604">
        <f t="shared" si="16"/>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3"/>
        <v>0</v>
      </c>
      <c r="E67" s="3605"/>
      <c r="F67" s="3601"/>
      <c r="G67" s="3602"/>
      <c r="H67" s="3603" t="str">
        <f t="shared" si="17"/>
        <v>——</v>
      </c>
      <c r="I67" s="3577">
        <v>0.06</v>
      </c>
      <c r="J67" s="3604">
        <f t="shared" si="14"/>
        <v>0</v>
      </c>
      <c r="K67" s="3604">
        <f t="shared" si="15"/>
        <v>0</v>
      </c>
      <c r="L67" s="3604">
        <v>0</v>
      </c>
      <c r="M67" s="3604">
        <f t="shared" si="16"/>
        <v>0</v>
      </c>
      <c r="N67" s="3604">
        <f t="shared" si="16"/>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3"/>
        <v>0</v>
      </c>
      <c r="E68" s="3605"/>
      <c r="F68" s="3601"/>
      <c r="G68" s="3602"/>
      <c r="H68" s="3603" t="str">
        <f t="shared" si="17"/>
        <v>——</v>
      </c>
      <c r="I68" s="3577">
        <v>0.09</v>
      </c>
      <c r="J68" s="3604">
        <f t="shared" si="14"/>
        <v>0</v>
      </c>
      <c r="K68" s="3604">
        <f t="shared" si="15"/>
        <v>0</v>
      </c>
      <c r="L68" s="3604">
        <v>0</v>
      </c>
      <c r="M68" s="3604">
        <f t="shared" si="16"/>
        <v>0</v>
      </c>
      <c r="N68" s="3604">
        <f t="shared" si="16"/>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3"/>
        <v>0</v>
      </c>
      <c r="E69" s="3612"/>
      <c r="F69" s="3601"/>
      <c r="G69" s="3602"/>
      <c r="H69" s="3603" t="str">
        <f t="shared" si="17"/>
        <v>——</v>
      </c>
      <c r="I69" s="3579">
        <v>7.0000000000000007E-2</v>
      </c>
      <c r="J69" s="3604">
        <f t="shared" si="14"/>
        <v>0</v>
      </c>
      <c r="K69" s="3604">
        <f t="shared" si="15"/>
        <v>0</v>
      </c>
      <c r="L69" s="3604">
        <v>0</v>
      </c>
      <c r="M69" s="3604">
        <f t="shared" si="16"/>
        <v>0</v>
      </c>
      <c r="N69" s="3604">
        <f t="shared" si="16"/>
        <v>0</v>
      </c>
      <c r="P69" s="1920"/>
      <c r="Q69" s="1920"/>
      <c r="R69" s="1920"/>
      <c r="S69" s="1920"/>
      <c r="T69" s="1920"/>
      <c r="U69" s="1920"/>
      <c r="V69" s="1920"/>
      <c r="W69" s="1920"/>
      <c r="X69" s="1920"/>
      <c r="Y69" s="1920"/>
      <c r="Z69" s="1920"/>
      <c r="AA69" s="1920"/>
      <c r="AB69" s="1920"/>
      <c r="AC69" s="1920"/>
      <c r="AD69" s="1920"/>
    </row>
    <row r="70" spans="1:36" s="3584" customFormat="1" ht="15">
      <c r="A70" s="3585" t="s">
        <v>835</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64" t="s">
        <v>1609</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8">SUMIF($J$71:$N$71,C72,J72:N72)</f>
        <v>0</v>
      </c>
      <c r="E72" s="3600">
        <f>ROUND(SUM(D72:D80),4)</f>
        <v>0</v>
      </c>
      <c r="F72" s="3601" t="str">
        <f>IF(E2="住宅",SUMIF(L1:L12,G2,N1:N12),"——")</f>
        <v>——</v>
      </c>
      <c r="G72" s="3616"/>
      <c r="H72" s="3617" t="str">
        <f t="shared" ref="H72:H80" si="19">IFERROR(ROUNDDOWN($F$72*I72/2,4),"——")</f>
        <v>——</v>
      </c>
      <c r="I72" s="3577">
        <v>0.2</v>
      </c>
      <c r="J72" s="3604">
        <f t="shared" ref="J72:J80" si="20">K72+$G72</f>
        <v>0</v>
      </c>
      <c r="K72" s="3604">
        <f t="shared" ref="K72:K80" si="21">$L72+$G72</f>
        <v>0</v>
      </c>
      <c r="L72" s="3604">
        <v>0</v>
      </c>
      <c r="M72" s="3604">
        <f t="shared" ref="M72:N80" si="22">L72-$G72</f>
        <v>0</v>
      </c>
      <c r="N72" s="3604">
        <f t="shared" si="22"/>
        <v>0</v>
      </c>
      <c r="P72" s="1920"/>
      <c r="Q72" s="1920"/>
      <c r="R72" s="1920"/>
      <c r="S72" s="1920"/>
      <c r="T72" s="1920"/>
      <c r="U72" s="1920"/>
      <c r="V72" s="1920"/>
      <c r="W72" s="1920"/>
      <c r="X72" s="1920"/>
      <c r="Y72" s="1920"/>
      <c r="Z72" s="1920"/>
      <c r="AA72" s="1920"/>
      <c r="AB72" s="1920"/>
      <c r="AC72" s="1920"/>
      <c r="AD72" s="1920"/>
    </row>
    <row r="73" spans="1:36" s="3584" customFormat="1" ht="36">
      <c r="A73" s="3590" t="s">
        <v>943</v>
      </c>
      <c r="B73" s="3591" t="str">
        <f>估价对象房地状况!C18</f>
        <v>估价对象周边道路状况、公共交通通达情况、停车便捷程度，综合评价交通便捷度较好</v>
      </c>
      <c r="C73" s="3615"/>
      <c r="D73" s="3599">
        <f t="shared" si="18"/>
        <v>0</v>
      </c>
      <c r="E73" s="3605"/>
      <c r="F73" s="3601"/>
      <c r="G73" s="3616"/>
      <c r="H73" s="3617" t="str">
        <f t="shared" si="19"/>
        <v>——</v>
      </c>
      <c r="I73" s="3577">
        <v>0.26</v>
      </c>
      <c r="J73" s="3604">
        <f t="shared" si="20"/>
        <v>0</v>
      </c>
      <c r="K73" s="3604">
        <f t="shared" si="21"/>
        <v>0</v>
      </c>
      <c r="L73" s="3604">
        <v>0</v>
      </c>
      <c r="M73" s="3604">
        <f t="shared" si="22"/>
        <v>0</v>
      </c>
      <c r="N73" s="3604">
        <f t="shared" si="22"/>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8"/>
        <v>0</v>
      </c>
      <c r="E74" s="3605"/>
      <c r="F74" s="3601"/>
      <c r="G74" s="3616"/>
      <c r="H74" s="3617" t="str">
        <f t="shared" si="19"/>
        <v>——</v>
      </c>
      <c r="I74" s="3577">
        <v>0.1</v>
      </c>
      <c r="J74" s="3604">
        <f t="shared" si="20"/>
        <v>0</v>
      </c>
      <c r="K74" s="3604">
        <f t="shared" si="21"/>
        <v>0</v>
      </c>
      <c r="L74" s="3604">
        <v>0</v>
      </c>
      <c r="M74" s="3604">
        <f t="shared" si="22"/>
        <v>0</v>
      </c>
      <c r="N74" s="3604">
        <f t="shared" si="22"/>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8"/>
        <v>0</v>
      </c>
      <c r="E75" s="3605"/>
      <c r="F75" s="3601"/>
      <c r="G75" s="3616"/>
      <c r="H75" s="3617" t="str">
        <f t="shared" si="19"/>
        <v>——</v>
      </c>
      <c r="I75" s="3577">
        <v>0.05</v>
      </c>
      <c r="J75" s="3604">
        <f t="shared" si="20"/>
        <v>0</v>
      </c>
      <c r="K75" s="3604">
        <f t="shared" si="21"/>
        <v>0</v>
      </c>
      <c r="L75" s="3604">
        <v>0</v>
      </c>
      <c r="M75" s="3604">
        <f t="shared" si="22"/>
        <v>0</v>
      </c>
      <c r="N75" s="3604">
        <f t="shared" si="22"/>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8"/>
        <v>0</v>
      </c>
      <c r="E76" s="3605"/>
      <c r="F76" s="3601"/>
      <c r="G76" s="3616"/>
      <c r="H76" s="3617" t="str">
        <f t="shared" si="19"/>
        <v>——</v>
      </c>
      <c r="I76" s="3577">
        <v>0.08</v>
      </c>
      <c r="J76" s="3604">
        <f t="shared" si="20"/>
        <v>0</v>
      </c>
      <c r="K76" s="3604">
        <f t="shared" si="21"/>
        <v>0</v>
      </c>
      <c r="L76" s="3604">
        <v>0</v>
      </c>
      <c r="M76" s="3604">
        <f t="shared" si="22"/>
        <v>0</v>
      </c>
      <c r="N76" s="3604">
        <f t="shared" si="22"/>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8"/>
        <v>0</v>
      </c>
      <c r="E77" s="3605"/>
      <c r="F77" s="3601"/>
      <c r="G77" s="3616"/>
      <c r="H77" s="3617" t="str">
        <f t="shared" si="19"/>
        <v>——</v>
      </c>
      <c r="I77" s="3577">
        <v>0.09</v>
      </c>
      <c r="J77" s="3604">
        <f t="shared" si="20"/>
        <v>0</v>
      </c>
      <c r="K77" s="3604">
        <f t="shared" si="21"/>
        <v>0</v>
      </c>
      <c r="L77" s="3604">
        <v>0</v>
      </c>
      <c r="M77" s="3604">
        <f t="shared" si="22"/>
        <v>0</v>
      </c>
      <c r="N77" s="3604">
        <f t="shared" si="22"/>
        <v>0</v>
      </c>
      <c r="O77" s="3584"/>
      <c r="P77" s="1920"/>
      <c r="Q77" s="1920"/>
      <c r="AE77" s="3584"/>
      <c r="AF77" s="3584"/>
      <c r="AG77" s="3584"/>
      <c r="AH77" s="3584"/>
      <c r="AI77" s="3584"/>
      <c r="AJ77" s="3584"/>
    </row>
    <row r="78" spans="1:36" s="1348" customFormat="1" ht="24">
      <c r="A78" s="3590" t="s">
        <v>947</v>
      </c>
      <c r="B78" s="3607" t="s">
        <v>2199</v>
      </c>
      <c r="C78" s="3615"/>
      <c r="D78" s="3599">
        <f t="shared" si="18"/>
        <v>0</v>
      </c>
      <c r="E78" s="3605"/>
      <c r="F78" s="3601"/>
      <c r="G78" s="3616"/>
      <c r="H78" s="3617" t="str">
        <f t="shared" si="19"/>
        <v>——</v>
      </c>
      <c r="I78" s="3577">
        <v>0.05</v>
      </c>
      <c r="J78" s="3604">
        <f t="shared" si="20"/>
        <v>0</v>
      </c>
      <c r="K78" s="3604">
        <f t="shared" si="21"/>
        <v>0</v>
      </c>
      <c r="L78" s="3604">
        <v>0</v>
      </c>
      <c r="M78" s="3604">
        <f t="shared" si="22"/>
        <v>0</v>
      </c>
      <c r="N78" s="3604">
        <f t="shared" si="22"/>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8"/>
        <v>0</v>
      </c>
      <c r="E79" s="3605"/>
      <c r="F79" s="3601"/>
      <c r="G79" s="3616"/>
      <c r="H79" s="3617" t="str">
        <f t="shared" si="19"/>
        <v>——</v>
      </c>
      <c r="I79" s="3577">
        <v>0.12</v>
      </c>
      <c r="J79" s="3604">
        <f t="shared" si="20"/>
        <v>0</v>
      </c>
      <c r="K79" s="3604">
        <f t="shared" si="21"/>
        <v>0</v>
      </c>
      <c r="L79" s="3604">
        <v>0</v>
      </c>
      <c r="M79" s="3604">
        <f t="shared" si="22"/>
        <v>0</v>
      </c>
      <c r="N79" s="3604">
        <f t="shared" si="22"/>
        <v>0</v>
      </c>
      <c r="P79" s="3618"/>
      <c r="Q79" s="3618"/>
      <c r="AE79" s="3584"/>
      <c r="AF79" s="3584"/>
      <c r="AG79" s="3584"/>
      <c r="AH79" s="3584"/>
      <c r="AI79" s="3584"/>
      <c r="AJ79" s="3584"/>
    </row>
    <row r="80" spans="1:36" s="1348" customFormat="1" ht="24.75" thickBot="1">
      <c r="A80" s="3610" t="s">
        <v>957</v>
      </c>
      <c r="B80" s="3619"/>
      <c r="C80" s="3615"/>
      <c r="D80" s="3599">
        <f t="shared" si="18"/>
        <v>0</v>
      </c>
      <c r="E80" s="3612"/>
      <c r="F80" s="3601"/>
      <c r="G80" s="3616"/>
      <c r="H80" s="3617" t="str">
        <f t="shared" si="19"/>
        <v>——</v>
      </c>
      <c r="I80" s="3579">
        <v>0.05</v>
      </c>
      <c r="J80" s="3604">
        <f t="shared" si="20"/>
        <v>0</v>
      </c>
      <c r="K80" s="3604">
        <f t="shared" si="21"/>
        <v>0</v>
      </c>
      <c r="L80" s="3604">
        <v>0</v>
      </c>
      <c r="M80" s="3604">
        <f t="shared" si="22"/>
        <v>0</v>
      </c>
      <c r="N80" s="3604">
        <f t="shared" si="22"/>
        <v>0</v>
      </c>
      <c r="AE80" s="3584"/>
      <c r="AF80" s="3584"/>
      <c r="AG80" s="3584"/>
      <c r="AH80" s="3584"/>
      <c r="AI80" s="3584"/>
      <c r="AJ80" s="3584"/>
    </row>
    <row r="81" spans="1:36" s="1348" customFormat="1" ht="15">
      <c r="A81" s="3585" t="s">
        <v>909</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64" t="s">
        <v>1609</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943</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2199</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2457</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101" si="29">L93-$G93</f>
        <v>0</v>
      </c>
      <c r="N93" s="3628">
        <f t="shared" si="29"/>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si="29"/>
        <v>0</v>
      </c>
      <c r="N94" s="3628">
        <f t="shared" si="29"/>
        <v>0</v>
      </c>
      <c r="AE94" s="3584"/>
      <c r="AF94" s="3584"/>
      <c r="AG94" s="3584"/>
      <c r="AH94" s="3584"/>
      <c r="AI94" s="3584"/>
      <c r="AJ94" s="3584"/>
    </row>
    <row r="95" spans="1:36" s="1348" customFormat="1" ht="36">
      <c r="A95" s="3629" t="s">
        <v>3221</v>
      </c>
      <c r="B95" s="3591">
        <f>估价对象房地状况!G17</f>
        <v>0</v>
      </c>
      <c r="C95" s="3598"/>
      <c r="D95" s="3599">
        <f t="shared" si="30"/>
        <v>0</v>
      </c>
      <c r="E95" s="3623"/>
      <c r="F95" s="3601"/>
      <c r="G95" s="3616"/>
      <c r="H95" s="3603" t="str">
        <f t="shared" si="31"/>
        <v>——</v>
      </c>
      <c r="I95" s="3577">
        <v>0.11</v>
      </c>
      <c r="J95" s="3628">
        <f t="shared" ref="J95:J101" si="32">K95+$G95</f>
        <v>0</v>
      </c>
      <c r="K95" s="3628">
        <f t="shared" si="28"/>
        <v>0</v>
      </c>
      <c r="L95" s="3628">
        <v>0</v>
      </c>
      <c r="M95" s="3628">
        <f t="shared" si="29"/>
        <v>0</v>
      </c>
      <c r="N95" s="3628">
        <f t="shared" si="29"/>
        <v>0</v>
      </c>
      <c r="AE95" s="3584"/>
      <c r="AF95" s="3584"/>
      <c r="AG95" s="3584"/>
      <c r="AH95" s="3584"/>
      <c r="AI95" s="3584"/>
      <c r="AJ95" s="3584"/>
    </row>
    <row r="96" spans="1:36" s="1348" customFormat="1" ht="36.75">
      <c r="A96" s="3574" t="s">
        <v>3225</v>
      </c>
      <c r="B96" s="3578" t="s">
        <v>3226</v>
      </c>
      <c r="C96" s="3598"/>
      <c r="D96" s="3599">
        <f t="shared" si="30"/>
        <v>0</v>
      </c>
      <c r="E96" s="3623"/>
      <c r="F96" s="3601"/>
      <c r="G96" s="3616"/>
      <c r="H96" s="3603" t="str">
        <f t="shared" si="31"/>
        <v>——</v>
      </c>
      <c r="I96" s="3577">
        <v>0.05</v>
      </c>
      <c r="J96" s="3628">
        <f t="shared" si="32"/>
        <v>0</v>
      </c>
      <c r="K96" s="3628">
        <f t="shared" si="28"/>
        <v>0</v>
      </c>
      <c r="L96" s="3628">
        <v>0</v>
      </c>
      <c r="M96" s="3628">
        <f>L96-$G96</f>
        <v>0</v>
      </c>
      <c r="N96" s="3628">
        <f t="shared" si="29"/>
        <v>0</v>
      </c>
      <c r="AE96" s="3584"/>
      <c r="AF96" s="3584"/>
      <c r="AG96" s="3584"/>
      <c r="AH96" s="3584"/>
      <c r="AI96" s="3584"/>
      <c r="AJ96" s="3584"/>
    </row>
    <row r="97" spans="1:36" s="1348" customFormat="1" ht="24">
      <c r="A97" s="3574" t="s">
        <v>3227</v>
      </c>
      <c r="B97" s="3591">
        <f>估价对象房地状况!G22</f>
        <v>0</v>
      </c>
      <c r="C97" s="3598"/>
      <c r="D97" s="3599">
        <f t="shared" si="30"/>
        <v>0</v>
      </c>
      <c r="E97" s="3623"/>
      <c r="F97" s="3601"/>
      <c r="G97" s="3616"/>
      <c r="H97" s="3603" t="str">
        <f t="shared" si="31"/>
        <v>——</v>
      </c>
      <c r="I97" s="3577">
        <v>0.05</v>
      </c>
      <c r="J97" s="3628">
        <f t="shared" si="32"/>
        <v>0</v>
      </c>
      <c r="K97" s="3628">
        <f t="shared" si="28"/>
        <v>0</v>
      </c>
      <c r="L97" s="3628">
        <v>0</v>
      </c>
      <c r="M97" s="3628">
        <f t="shared" si="29"/>
        <v>0</v>
      </c>
      <c r="N97" s="3628">
        <f t="shared" si="29"/>
        <v>0</v>
      </c>
      <c r="AE97" s="3584"/>
      <c r="AF97" s="3584"/>
      <c r="AG97" s="3584"/>
      <c r="AH97" s="3584"/>
      <c r="AI97" s="3584"/>
      <c r="AJ97" s="3584"/>
    </row>
    <row r="98" spans="1:36" s="1348" customFormat="1" ht="24">
      <c r="A98" s="3574" t="s">
        <v>3234</v>
      </c>
      <c r="B98" s="3606" t="s">
        <v>2199</v>
      </c>
      <c r="C98" s="3598"/>
      <c r="D98" s="3599">
        <f t="shared" si="30"/>
        <v>0</v>
      </c>
      <c r="E98" s="3623"/>
      <c r="F98" s="3601"/>
      <c r="G98" s="3616"/>
      <c r="H98" s="3603" t="str">
        <f t="shared" si="31"/>
        <v>——</v>
      </c>
      <c r="I98" s="3577">
        <v>0.06</v>
      </c>
      <c r="J98" s="3628">
        <f t="shared" si="32"/>
        <v>0</v>
      </c>
      <c r="K98" s="3628">
        <f t="shared" si="28"/>
        <v>0</v>
      </c>
      <c r="L98" s="3628">
        <v>0</v>
      </c>
      <c r="M98" s="3628">
        <f t="shared" si="29"/>
        <v>0</v>
      </c>
      <c r="N98" s="3628">
        <f t="shared" si="29"/>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2"/>
        <v>0</v>
      </c>
      <c r="K99" s="3628">
        <f t="shared" si="28"/>
        <v>0</v>
      </c>
      <c r="L99" s="3628">
        <v>0</v>
      </c>
      <c r="M99" s="3628">
        <f t="shared" si="29"/>
        <v>0</v>
      </c>
      <c r="N99" s="3628">
        <f t="shared" si="29"/>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30"/>
        <v>0</v>
      </c>
      <c r="E100" s="3623"/>
      <c r="F100" s="3601"/>
      <c r="G100" s="3616"/>
      <c r="H100" s="3603" t="str">
        <f t="shared" si="31"/>
        <v>——</v>
      </c>
      <c r="I100" s="3577">
        <v>0.09</v>
      </c>
      <c r="J100" s="3628">
        <f t="shared" si="32"/>
        <v>0</v>
      </c>
      <c r="K100" s="3628">
        <f t="shared" si="28"/>
        <v>0</v>
      </c>
      <c r="L100" s="3628">
        <v>0</v>
      </c>
      <c r="M100" s="3628">
        <f t="shared" si="29"/>
        <v>0</v>
      </c>
      <c r="N100" s="3628">
        <f t="shared" si="29"/>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2"/>
        <v>0</v>
      </c>
      <c r="K101" s="3628">
        <f t="shared" si="28"/>
        <v>0</v>
      </c>
      <c r="L101" s="3628">
        <v>0</v>
      </c>
      <c r="M101" s="3628">
        <f t="shared" si="29"/>
        <v>0</v>
      </c>
      <c r="N101" s="3628">
        <f t="shared" si="29"/>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66" t="s">
        <v>1172</v>
      </c>
      <c r="B104" s="3866"/>
      <c r="C104" s="3866"/>
      <c r="D104" s="3866"/>
      <c r="E104" s="3866"/>
      <c r="F104" s="3866"/>
      <c r="G104" s="3866"/>
      <c r="H104" s="3866"/>
      <c r="I104" s="3866"/>
      <c r="J104" s="3866"/>
      <c r="K104" s="3666"/>
      <c r="L104" s="3666"/>
      <c r="M104" s="3666"/>
      <c r="N104" s="3666"/>
    </row>
    <row r="105" spans="1:36">
      <c r="A105" s="3867" t="s">
        <v>833</v>
      </c>
      <c r="B105" s="3867" t="s">
        <v>1173</v>
      </c>
      <c r="C105" s="1041" t="s">
        <v>1174</v>
      </c>
      <c r="D105" s="1042"/>
      <c r="E105" s="1042"/>
      <c r="F105" s="1042"/>
      <c r="G105" s="1042"/>
      <c r="H105" s="1042"/>
      <c r="I105" s="1042"/>
      <c r="J105" s="1043"/>
      <c r="K105" s="1035"/>
      <c r="L105" s="1035"/>
      <c r="M105" s="1035"/>
      <c r="N105" s="1035"/>
    </row>
    <row r="106" spans="1:36">
      <c r="A106" s="3867"/>
      <c r="B106" s="3867"/>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86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6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6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6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6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69"/>
      <c r="B112" s="1044" t="s">
        <v>3237</v>
      </c>
      <c r="C112" s="1046">
        <f>$I$3</f>
        <v>1</v>
      </c>
      <c r="D112" s="1046">
        <f t="shared" ref="D112:N112" si="33">$I$3</f>
        <v>1</v>
      </c>
      <c r="E112" s="1046">
        <f t="shared" si="33"/>
        <v>1</v>
      </c>
      <c r="F112" s="1046">
        <f t="shared" si="33"/>
        <v>1</v>
      </c>
      <c r="G112" s="1046">
        <f t="shared" si="33"/>
        <v>1</v>
      </c>
      <c r="H112" s="1046">
        <f t="shared" si="33"/>
        <v>1</v>
      </c>
      <c r="I112" s="1046">
        <f t="shared" si="33"/>
        <v>1</v>
      </c>
      <c r="J112" s="1046">
        <f t="shared" si="33"/>
        <v>1</v>
      </c>
      <c r="K112" s="1046">
        <f t="shared" si="33"/>
        <v>1</v>
      </c>
      <c r="L112" s="1046">
        <f t="shared" si="33"/>
        <v>1</v>
      </c>
      <c r="M112" s="1046">
        <f t="shared" si="33"/>
        <v>1</v>
      </c>
      <c r="N112" s="1046">
        <f t="shared" si="33"/>
        <v>1</v>
      </c>
    </row>
    <row r="113" spans="1:14">
      <c r="A113" s="3870"/>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871" t="s">
        <v>1175</v>
      </c>
      <c r="B114" s="3871"/>
      <c r="C114" s="3871"/>
      <c r="D114" s="3871"/>
      <c r="E114" s="3871"/>
      <c r="F114" s="3871"/>
      <c r="G114" s="3871"/>
      <c r="H114" s="3871"/>
      <c r="I114" s="3871"/>
      <c r="J114" s="3871"/>
      <c r="K114" s="3665"/>
      <c r="L114" s="3665"/>
      <c r="M114" s="3665"/>
      <c r="N114" s="3665"/>
    </row>
    <row r="116" spans="1:14" ht="12.75" thickBot="1"/>
    <row r="117" spans="1:14" ht="25.5" thickBot="1">
      <c r="A117" s="976" t="s">
        <v>831</v>
      </c>
      <c r="B117" s="2104">
        <f>G3</f>
        <v>2</v>
      </c>
      <c r="C117" s="977" t="s">
        <v>832</v>
      </c>
      <c r="D117" s="978" t="e">
        <f>SUMPRODUCT((A118:A122=F116)*(B117:M117=H116)*B118:M122)</f>
        <v>#VALUE!</v>
      </c>
      <c r="E117" s="979" t="s">
        <v>833</v>
      </c>
      <c r="F117" s="980" t="str">
        <f>E2</f>
        <v>商业</v>
      </c>
      <c r="G117" s="979" t="s">
        <v>834</v>
      </c>
      <c r="H117" s="980" t="str">
        <f>G2</f>
        <v>十级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0.9748</v>
      </c>
      <c r="C119" s="3575">
        <f>B119</f>
        <v>0.9748</v>
      </c>
      <c r="D119" s="3575">
        <f>ROUND(0.949-0.014*B117,4)</f>
        <v>0.92100000000000004</v>
      </c>
      <c r="E119" s="3575">
        <f>D119</f>
        <v>0.92100000000000004</v>
      </c>
      <c r="F119" s="3575">
        <f>E119</f>
        <v>0.92100000000000004</v>
      </c>
      <c r="G119" s="3575">
        <f>F119</f>
        <v>0.92100000000000004</v>
      </c>
      <c r="H119" s="3575">
        <f>G119</f>
        <v>0.92100000000000004</v>
      </c>
      <c r="I119" s="3575">
        <f>ROUND(0.8486-0.018*B117,4)</f>
        <v>0.81259999999999999</v>
      </c>
      <c r="J119" s="3575">
        <f t="shared" ref="J119:M123" si="34">I119</f>
        <v>0.81259999999999999</v>
      </c>
      <c r="K119" s="3575">
        <f t="shared" si="34"/>
        <v>0.81259999999999999</v>
      </c>
      <c r="L119" s="3575">
        <f t="shared" si="34"/>
        <v>0.81259999999999999</v>
      </c>
      <c r="M119" s="3636">
        <f t="shared" si="34"/>
        <v>0.81259999999999999</v>
      </c>
    </row>
    <row r="120" spans="1:14" ht="12.75">
      <c r="A120" s="3633" t="s">
        <v>3239</v>
      </c>
      <c r="B120" s="3575">
        <f>ROUND(0.993-0.0112*B117,4)</f>
        <v>0.97060000000000002</v>
      </c>
      <c r="C120" s="3575">
        <f>B120</f>
        <v>0.97060000000000002</v>
      </c>
      <c r="D120" s="3575">
        <f>ROUND(0.9415-0.0142*B117,4)</f>
        <v>0.91310000000000002</v>
      </c>
      <c r="E120" s="3575">
        <f t="shared" ref="E120:H121" si="35">D120</f>
        <v>0.91310000000000002</v>
      </c>
      <c r="F120" s="3575">
        <f t="shared" si="35"/>
        <v>0.91310000000000002</v>
      </c>
      <c r="G120" s="3575">
        <f t="shared" si="35"/>
        <v>0.91310000000000002</v>
      </c>
      <c r="H120" s="3575">
        <f t="shared" si="35"/>
        <v>0.91310000000000002</v>
      </c>
      <c r="I120" s="3575">
        <f>ROUND(0.838-0.0182*B117,4)</f>
        <v>0.80159999999999998</v>
      </c>
      <c r="J120" s="3575">
        <f t="shared" si="34"/>
        <v>0.80159999999999998</v>
      </c>
      <c r="K120" s="3575">
        <f t="shared" si="34"/>
        <v>0.80159999999999998</v>
      </c>
      <c r="L120" s="3575">
        <f t="shared" si="34"/>
        <v>0.80159999999999998</v>
      </c>
      <c r="M120" s="3636">
        <f t="shared" si="34"/>
        <v>0.80159999999999998</v>
      </c>
    </row>
    <row r="121" spans="1:14" ht="12.75">
      <c r="A121" s="3633" t="s">
        <v>3240</v>
      </c>
      <c r="B121" s="3575">
        <f>ROUND(0.9448-0.0115*B117,4)</f>
        <v>0.92179999999999995</v>
      </c>
      <c r="C121" s="3575">
        <f>B121</f>
        <v>0.92179999999999995</v>
      </c>
      <c r="D121" s="3575">
        <f>ROUND(0.937-0.0145*B117,4)</f>
        <v>0.90800000000000003</v>
      </c>
      <c r="E121" s="3575">
        <f t="shared" si="35"/>
        <v>0.90800000000000003</v>
      </c>
      <c r="F121" s="3575">
        <f t="shared" si="35"/>
        <v>0.90800000000000003</v>
      </c>
      <c r="G121" s="3575">
        <f t="shared" si="35"/>
        <v>0.90800000000000003</v>
      </c>
      <c r="H121" s="3575">
        <f t="shared" si="35"/>
        <v>0.90800000000000003</v>
      </c>
      <c r="I121" s="3575">
        <f>ROUND(0.7965-0.0185*B117,4)</f>
        <v>0.75949999999999995</v>
      </c>
      <c r="J121" s="3575">
        <f t="shared" si="34"/>
        <v>0.75949999999999995</v>
      </c>
      <c r="K121" s="3575">
        <f t="shared" si="34"/>
        <v>0.75949999999999995</v>
      </c>
      <c r="L121" s="3575">
        <f t="shared" si="34"/>
        <v>0.75949999999999995</v>
      </c>
      <c r="M121" s="3636">
        <f t="shared" si="34"/>
        <v>0.75949999999999995</v>
      </c>
    </row>
    <row r="122" spans="1:14" ht="13.5" thickBot="1">
      <c r="A122" s="3634" t="s">
        <v>3241</v>
      </c>
      <c r="B122" s="3637">
        <f>ROUND(0.7836-0.012*B117,4)</f>
        <v>0.75960000000000005</v>
      </c>
      <c r="C122" s="3637">
        <f>B122</f>
        <v>0.75960000000000005</v>
      </c>
      <c r="D122" s="3637">
        <f>ROUND(0.753-0.015*B117,4)</f>
        <v>0.72299999999999998</v>
      </c>
      <c r="E122" s="3637">
        <f>D122</f>
        <v>0.72299999999999998</v>
      </c>
      <c r="F122" s="3637">
        <f>E122</f>
        <v>0.72299999999999998</v>
      </c>
      <c r="G122" s="3637">
        <f>ROUND(0.6612-0.018*B117,4)</f>
        <v>0.62519999999999998</v>
      </c>
      <c r="H122" s="3637">
        <f>G122</f>
        <v>0.62519999999999998</v>
      </c>
      <c r="I122" s="3637">
        <f>ROUND(0.5905-0.019*B117,4)</f>
        <v>0.55249999999999999</v>
      </c>
      <c r="J122" s="3637">
        <f t="shared" si="34"/>
        <v>0.55249999999999999</v>
      </c>
      <c r="K122" s="3637">
        <f t="shared" si="34"/>
        <v>0.55249999999999999</v>
      </c>
      <c r="L122" s="3637">
        <f t="shared" si="34"/>
        <v>0.55249999999999999</v>
      </c>
      <c r="M122" s="3638">
        <f t="shared" si="34"/>
        <v>0.55249999999999999</v>
      </c>
    </row>
    <row r="123" spans="1:14" ht="12.75">
      <c r="A123" s="3635" t="s">
        <v>2457</v>
      </c>
      <c r="B123" s="3575">
        <f>ROUND(0.9404-0.0106*B117,4)</f>
        <v>0.91920000000000002</v>
      </c>
      <c r="C123" s="3575">
        <f>B123</f>
        <v>0.91920000000000002</v>
      </c>
      <c r="D123" s="3575">
        <f>ROUND(0.8955-0.0135*B117,4)</f>
        <v>0.86850000000000005</v>
      </c>
      <c r="E123" s="3575">
        <f t="shared" ref="E123:H123" si="36">D123</f>
        <v>0.86850000000000005</v>
      </c>
      <c r="F123" s="3575">
        <f t="shared" si="36"/>
        <v>0.86850000000000005</v>
      </c>
      <c r="G123" s="3575">
        <f t="shared" si="36"/>
        <v>0.86850000000000005</v>
      </c>
      <c r="H123" s="3575">
        <f t="shared" si="36"/>
        <v>0.86850000000000005</v>
      </c>
      <c r="I123" s="3575">
        <f>ROUND(0.7632-0.0166*B117,4)</f>
        <v>0.73</v>
      </c>
      <c r="J123" s="3575">
        <f t="shared" si="34"/>
        <v>0.73</v>
      </c>
      <c r="K123" s="3575">
        <f t="shared" si="34"/>
        <v>0.73</v>
      </c>
      <c r="L123" s="3575">
        <f t="shared" si="34"/>
        <v>0.73</v>
      </c>
      <c r="M123" s="3636">
        <f t="shared" si="34"/>
        <v>0.73</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3" priority="5" stopIfTrue="1" operator="notEqual">
      <formula>"——"</formula>
    </cfRule>
  </conditionalFormatting>
  <conditionalFormatting sqref="F61">
    <cfRule type="cellIs" dxfId="172" priority="4" stopIfTrue="1" operator="notEqual">
      <formula>"——"</formula>
    </cfRule>
  </conditionalFormatting>
  <conditionalFormatting sqref="F72">
    <cfRule type="cellIs" dxfId="171" priority="3" stopIfTrue="1" operator="notEqual">
      <formula>"——"</formula>
    </cfRule>
  </conditionalFormatting>
  <conditionalFormatting sqref="F83">
    <cfRule type="cellIs" dxfId="170" priority="2" stopIfTrue="1" operator="notEqual">
      <formula>"——"</formula>
    </cfRule>
  </conditionalFormatting>
  <conditionalFormatting sqref="H50:H58 H72:H80 H83:H91 H93:H102 H61:H69">
    <cfRule type="cellIs" dxfId="16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6" t="str">
        <f>项目基本情况!B1</f>
        <v>北京市出让国有建设用地使用权市场价格预评估</v>
      </c>
      <c r="C37" s="3686"/>
      <c r="D37" s="3686"/>
      <c r="E37" s="3686"/>
      <c r="F37" s="3686"/>
      <c r="G37" s="3686"/>
      <c r="H37" s="3686"/>
      <c r="I37" s="368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H34" sqref="H3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2741</v>
      </c>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372372</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10032</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20063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1338</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816640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2741</v>
      </c>
      <c r="D7" s="423"/>
      <c r="E7" s="423"/>
      <c r="F7" s="423"/>
      <c r="G7" s="423"/>
      <c r="H7" s="423"/>
      <c r="I7" s="423"/>
      <c r="J7" s="423"/>
      <c r="K7" s="424"/>
      <c r="AA7" s="1835"/>
      <c r="AB7" s="1835"/>
      <c r="AC7" s="1835"/>
      <c r="AD7" s="1835"/>
      <c r="AE7" s="1835"/>
    </row>
    <row r="8" spans="1:31" s="1838" customFormat="1" ht="13.5" customHeight="1">
      <c r="A8" s="769" t="s">
        <v>1374</v>
      </c>
      <c r="B8" s="252" t="s">
        <v>432</v>
      </c>
      <c r="C8" s="2314">
        <v>22000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SUMIF('数据-汇总表'!$C19:$C33,'剩余法-商业'!C7,'数据-汇总表'!$E19:$E33)</f>
        <v>371200</v>
      </c>
      <c r="D9" s="428">
        <f>SUMIF('数据-汇总表'!$C19:$C33,'剩余法-商业'!D7,'数据-汇总表'!$E19:$E33)</f>
        <v>0</v>
      </c>
      <c r="E9" s="428">
        <f>SUMIF('数据-汇总表'!$C19:$C33,'剩余法-商业'!E7,'数据-汇总表'!$E19:$E33)</f>
        <v>0</v>
      </c>
      <c r="F9" s="428">
        <f>SUMIF('数据-汇总表'!$C19:$C33,'剩余法-商业'!F7,'数据-汇总表'!$E19:$E33)</f>
        <v>0</v>
      </c>
      <c r="G9" s="428">
        <f>SUMIF('数据-汇总表'!$C19:$C33,'剩余法-商业'!G7,'数据-汇总表'!$E19:$E33)</f>
        <v>0</v>
      </c>
      <c r="H9" s="428">
        <f>SUMIF('数据-汇总表'!$C19:$C33,'剩余法-商业'!H7,'数据-汇总表'!$E19:$E33)</f>
        <v>0</v>
      </c>
      <c r="I9" s="428">
        <f>SUMIF('数据-汇总表'!$C19:$C33,'剩余法-商业'!I7,'数据-汇总表'!$E19:$E33)</f>
        <v>0</v>
      </c>
      <c r="J9" s="428">
        <f>SUMIF('数据-汇总表'!$C19:$C33,'剩余法-商业'!J7,'数据-汇总表'!$E19:$E33)</f>
        <v>0</v>
      </c>
      <c r="K9" s="429">
        <f>SUMIF('数据-汇总表'!$C19:$C33,'剩余法-商业'!K7,'数据-汇总表'!$E19:$E33)</f>
        <v>0</v>
      </c>
      <c r="AA9" s="1837"/>
      <c r="AB9" s="1837"/>
      <c r="AC9" s="1837"/>
      <c r="AD9" s="1837"/>
      <c r="AE9" s="1837"/>
    </row>
    <row r="10" spans="1:31" s="1838" customFormat="1" ht="13.5" customHeight="1" thickBot="1">
      <c r="A10" s="2316" t="s">
        <v>1376</v>
      </c>
      <c r="B10" s="2302" t="s">
        <v>434</v>
      </c>
      <c r="C10" s="2502">
        <f>ROUND(C8*C9/10000,0)</f>
        <v>816640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185600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9280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7424</v>
      </c>
      <c r="D16" s="2324">
        <f ca="1">IF(B1="",'数据-汇总表'!E3,INDIRECT("'数据-取费表'!K"&amp;$K$1)+INDIRECT("'数据-取费表'!S"&amp;$K$1))</f>
        <v>371200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2784</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205088</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371200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7424</v>
      </c>
      <c r="D20" s="2334"/>
      <c r="E20" s="2288"/>
      <c r="F20" s="2335"/>
      <c r="G20" s="2533" t="s">
        <v>3380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7424</v>
      </c>
      <c r="D22" s="2324">
        <f ca="1">IF(B1="",'数据-汇总表'!E6,IF(INDIRECT("'数据-取费表'!c"&amp;$K$1)="住宅",INDIRECT("'数据-取费表'!s"&amp;$K$1),INDIRECT("'数据-取费表'!k"&amp;$K$1)+INDIRECT("'数据-取费表'!s"&amp;$K$1)))</f>
        <v>371200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4250</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16333</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11072</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11072</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42776</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286943</v>
      </c>
      <c r="D30" s="463">
        <f ca="1">C32</f>
        <v>9.7299999999999998E-2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286943</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46619</v>
      </c>
      <c r="D33" s="453">
        <f ca="1">C34</f>
        <v>0.2</v>
      </c>
      <c r="E33" s="455" t="s">
        <v>455</v>
      </c>
      <c r="F33" s="465">
        <f ca="1">IF(B1="",'数据-取费表'!Q16,INDIRECT("'数据-取费表'!q"&amp;$K$1))</f>
        <v>0.2</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46619</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372372</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E14" sqref="E14"/>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371200</v>
      </c>
      <c r="E1" s="1261" t="s">
        <v>1779</v>
      </c>
      <c r="F1" s="2105">
        <f>'数据-汇总表'!D3</f>
        <v>185600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255980</v>
      </c>
      <c r="C2" s="1262" t="s">
        <v>849</v>
      </c>
      <c r="D2" s="1263" t="s">
        <v>850</v>
      </c>
      <c r="E2" s="1264" t="s">
        <v>851</v>
      </c>
      <c r="F2" s="1263" t="s">
        <v>852</v>
      </c>
      <c r="G2" s="1457" t="str">
        <f>IF(E2="商业",项目基本情况!B43,IF(E2="办公",项目基本情况!C43,IF(E2="住宅",项目基本情况!D43,IF(E2="工业",项目基本情况!E43,项目基本情况!F43))))</f>
        <v>九级</v>
      </c>
      <c r="H2" s="1263" t="s">
        <v>854</v>
      </c>
      <c r="I2" s="1458" t="str">
        <f>IF(E2="商业",项目基本情况!B44,IF(E2="办公",项目基本情况!C44,IF(E2="住宅",项目基本情况!D44,IF(E2="工业",项目基本情况!E44,项目基本情况!F44))))</f>
        <v>Ⅸ-顺2</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1.5418000000000001</v>
      </c>
      <c r="T2" s="2416">
        <f>ROUND($C$5*$C$22*$C$23*$C$24*S2*$C$28,0)</f>
        <v>11540</v>
      </c>
      <c r="U2" s="2406"/>
      <c r="V2" s="2416">
        <f>ROUND(T2*U2/10000,0)</f>
        <v>0</v>
      </c>
      <c r="W2" s="1911"/>
      <c r="X2" s="1911"/>
      <c r="Y2" s="1911"/>
      <c r="Z2" s="1911"/>
      <c r="AA2" s="1911"/>
      <c r="AB2" s="1911"/>
      <c r="AC2" s="1912"/>
    </row>
    <row r="3" spans="1:39" ht="15.75">
      <c r="A3" s="1266" t="s">
        <v>1220</v>
      </c>
      <c r="B3" s="991">
        <f>ROUND(B2*10000/D1,0)</f>
        <v>6896</v>
      </c>
      <c r="C3" s="1262" t="s">
        <v>855</v>
      </c>
      <c r="D3" s="1263" t="s">
        <v>856</v>
      </c>
      <c r="E3" s="1267" t="s">
        <v>3383</v>
      </c>
      <c r="F3" s="1268" t="s">
        <v>3381</v>
      </c>
      <c r="G3" s="992">
        <f>IF(F3="宗地容积率",'数据-汇总表'!I4,IF(F3="估价对象容积率",'数据-汇总表'!I6,'数据-汇总表'!I7))</f>
        <v>2</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1.1883999999999999</v>
      </c>
      <c r="T3" s="2416">
        <f t="shared" ref="T3:T16" si="0">ROUND($C$5*$C$22*$C$23*$C$24*S3*$C$28,0)</f>
        <v>8895</v>
      </c>
      <c r="U3" s="2406"/>
      <c r="V3" s="2416">
        <f t="shared" ref="V3:V16" si="1">ROUND(T3*U3/10000,0)</f>
        <v>0</v>
      </c>
      <c r="W3" s="1911"/>
      <c r="X3" s="1911"/>
      <c r="Y3" s="1911"/>
      <c r="Z3" s="1911"/>
      <c r="AA3" s="1911"/>
      <c r="AB3" s="1911"/>
      <c r="AC3" s="1912"/>
    </row>
    <row r="4" spans="1:39" ht="28.5">
      <c r="A4" s="1647" t="s">
        <v>1638</v>
      </c>
      <c r="B4" s="2106">
        <f>ROUND(B2*10000/F1,0)</f>
        <v>13792</v>
      </c>
      <c r="C4" s="1650" t="s">
        <v>1613</v>
      </c>
      <c r="D4" s="1650">
        <f>ROUND(B2/(F1/666.67),0)</f>
        <v>919</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0.96940000000000004</v>
      </c>
      <c r="T4" s="2416">
        <f t="shared" si="0"/>
        <v>7256</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6487</v>
      </c>
      <c r="D5" s="2548">
        <f>ROUND(C6*C17+C20,0)</f>
        <v>6487</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0.82299999999999995</v>
      </c>
      <c r="T5" s="2416">
        <f t="shared" si="0"/>
        <v>6160</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6440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0.74980000000000002</v>
      </c>
      <c r="T6" s="2416">
        <f t="shared" si="0"/>
        <v>5612</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九级</v>
      </c>
      <c r="Y7" s="2407" t="s">
        <v>2047</v>
      </c>
      <c r="Z7" s="2408">
        <f>G3</f>
        <v>2</v>
      </c>
      <c r="AA7" s="1914"/>
      <c r="AB7" s="1914"/>
      <c r="AC7" s="1915"/>
      <c r="AD7" s="2409"/>
      <c r="AE7" s="2409"/>
      <c r="AF7" s="2409"/>
      <c r="AG7" s="2409"/>
      <c r="AH7" s="2409"/>
      <c r="AI7" s="2409"/>
      <c r="AJ7" s="2410"/>
    </row>
    <row r="8" spans="1:39" ht="25.5">
      <c r="A8" s="3532"/>
      <c r="B8" s="1269" t="s">
        <v>862</v>
      </c>
      <c r="C8" s="3533" t="s">
        <v>3382</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74" t="s">
        <v>2060</v>
      </c>
      <c r="X8" s="387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6440</v>
      </c>
      <c r="N9" s="1643">
        <f>SUMPRODUCT((因素修正幅度!B277:B326=I2)*(因素修正幅度!C3:G3=E2)*(因素修正幅度!C277:G326))</f>
        <v>0.15</v>
      </c>
      <c r="O9" s="2978"/>
      <c r="P9" s="1911"/>
      <c r="Q9" s="1911"/>
      <c r="R9" s="2416">
        <v>8</v>
      </c>
      <c r="S9" s="2406"/>
      <c r="T9" s="2416">
        <f t="shared" si="0"/>
        <v>0</v>
      </c>
      <c r="U9" s="2406"/>
      <c r="V9" s="2416">
        <f t="shared" si="1"/>
        <v>0</v>
      </c>
      <c r="W9" s="3876"/>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1</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3384</v>
      </c>
      <c r="D15" s="3553" t="s">
        <v>3384</v>
      </c>
      <c r="E15" s="3554" t="s">
        <v>3385</v>
      </c>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0.96709999999999996</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7" t="s">
        <v>1370</v>
      </c>
      <c r="B20" s="1278" t="s">
        <v>875</v>
      </c>
      <c r="C20" s="998">
        <f>ROUND(IF(F21="与级别开发程度一致",0,(G21-E21)/C21),0)</f>
        <v>47</v>
      </c>
      <c r="D20" s="3879" t="s">
        <v>879</v>
      </c>
      <c r="E20" s="3880"/>
      <c r="F20" s="3879" t="s">
        <v>876</v>
      </c>
      <c r="G20" s="3880"/>
      <c r="H20" s="1291" t="s">
        <v>2768</v>
      </c>
      <c r="I20" s="1291" t="s">
        <v>2769</v>
      </c>
      <c r="J20" s="1291" t="s">
        <v>2770</v>
      </c>
      <c r="K20" s="1291" t="s">
        <v>2771</v>
      </c>
      <c r="L20" s="1291" t="s">
        <v>2772</v>
      </c>
      <c r="M20" s="1291" t="s">
        <v>2773</v>
      </c>
      <c r="N20" s="1291" t="s">
        <v>2774</v>
      </c>
      <c r="O20" s="2606" t="s">
        <v>2775</v>
      </c>
      <c r="P20" s="1911"/>
      <c r="Q20" s="1914"/>
      <c r="R20" s="1917"/>
      <c r="S20" s="1917"/>
      <c r="T20" s="1917"/>
      <c r="U20" s="1917"/>
      <c r="V20" s="1917"/>
      <c r="W20" s="1917"/>
      <c r="X20" s="1917"/>
      <c r="Y20" s="1295"/>
      <c r="Z20" s="1295"/>
      <c r="AA20" s="1295"/>
      <c r="AB20" s="1295"/>
      <c r="AC20" s="1295"/>
      <c r="AD20" s="1295"/>
    </row>
    <row r="21" spans="1:40" s="1276" customFormat="1" ht="15" thickBot="1">
      <c r="A21" s="3878"/>
      <c r="B21" s="2607" t="s">
        <v>878</v>
      </c>
      <c r="C21" s="2608">
        <f>IF(E3="M4科研用地",SUMPRODUCT((修正!A2:A7=E3)*(修正!B1:M1=G2)*(修正!B2:M7)),SUMPRODUCT((修正!A2:A7=E2)*(修正!B1:M1=G2)*(修正!B2:M7)))</f>
        <v>1.5</v>
      </c>
      <c r="D21" s="2609" t="str">
        <f>IF(OR(G2="八级",G2="九级",G2="十级",G2="十一级",G2="十二级"),"五通一平","七通一平")</f>
        <v>五通一平</v>
      </c>
      <c r="E21" s="2599">
        <f>SUMPRODUCT((修正!B1:M1=G2)*(修正!B17:M17))</f>
        <v>185</v>
      </c>
      <c r="F21" s="2600"/>
      <c r="G21" s="2599">
        <f>SUM(H21:O21)</f>
        <v>255</v>
      </c>
      <c r="H21" s="997">
        <f>SUMPRODUCT((七通一平=H20)*(修正!B1:M1=G2)*(修正!B8:M16))</f>
        <v>60</v>
      </c>
      <c r="I21" s="997">
        <f>SUMPRODUCT((七通一平=I20)*(修正!B1:M1=G2)*(修正!B8:M16))</f>
        <v>50</v>
      </c>
      <c r="J21" s="997">
        <f>SUMPRODUCT((七通一平=J20)*(修正!B1:M1=G2)*(修正!B8:M16))</f>
        <v>10</v>
      </c>
      <c r="K21" s="997">
        <f>SUMPRODUCT((七通一平=K20)*(修正!B1:M1=G2)*(修正!B8:M16))</f>
        <v>20</v>
      </c>
      <c r="L21" s="997">
        <f>SUMPRODUCT((七通一平=L20)*(修正!B1:M1=G2)*(修正!B8:M16))</f>
        <v>35</v>
      </c>
      <c r="M21" s="997">
        <f>SUMPRODUCT((七通一平=M20)*(修正!B1:M1=G2)*(修正!B8:M16))</f>
        <v>40</v>
      </c>
      <c r="N21" s="997">
        <f>SUMPRODUCT((七通一平=N20)*(修正!B1:M1=G2)*(修正!B8:M16))</f>
        <v>30</v>
      </c>
      <c r="O21" s="2610">
        <f>SUMPRODUCT((七通一平=O20)*(修正!B1:M1=G2)*(修正!B8:M16))</f>
        <v>10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1.0734999999999999</v>
      </c>
      <c r="D23" s="1297" t="s">
        <v>882</v>
      </c>
      <c r="E23" s="1000">
        <v>44197</v>
      </c>
      <c r="F23" s="1297" t="s">
        <v>883</v>
      </c>
      <c r="G23" s="1001">
        <f>'数据-取费表'!B2</f>
        <v>44994</v>
      </c>
      <c r="H23" s="1298" t="s">
        <v>2247</v>
      </c>
      <c r="I23" s="2266" t="str">
        <f>IF(H23="季度增幅（自定义）",SUMIF(N25:N28,E2,O25:O28),"")</f>
        <v/>
      </c>
      <c r="J23" s="3567" t="s">
        <v>3386</v>
      </c>
      <c r="K23" s="2977"/>
      <c r="L23" s="2511" t="s">
        <v>2116</v>
      </c>
      <c r="M23" s="2512">
        <f>ROUND(SUMIF(地价!B2:F2,E2,地价!B41:F41),0)</f>
        <v>423</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存贷款利率!E22/100</f>
        <v>4.3499999999999997E-2</v>
      </c>
      <c r="F24" s="2263" t="s">
        <v>898</v>
      </c>
      <c r="G24" s="2264">
        <f>SUMIF(M30:Q30,E2,M33:Q33)</f>
        <v>0.05</v>
      </c>
      <c r="H24" s="2263" t="s">
        <v>899</v>
      </c>
      <c r="I24" s="2259">
        <f>SUMIF('数据-取费表'!C6:C15,E2,'数据-取费表'!F6:F15)/COUNTIF('数据-取费表'!C6:C15,E2)</f>
        <v>70</v>
      </c>
      <c r="J24" s="2265">
        <f>IF(E2="住宅",70,IF(E2="商业",40,50))</f>
        <v>70</v>
      </c>
      <c r="K24" s="2597"/>
      <c r="L24" s="2513" t="s">
        <v>2117</v>
      </c>
      <c r="M24" s="2592">
        <f>ROUND(SUMPRODUCT((地价!A4:A41=YEAR(G23)&amp;"-"&amp;ROUNDUP(MONTH(G23)/3,0))*(地价!B2:F2=E2)*(地价!B4:F41)),0)</f>
        <v>737</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0.92130000000000001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0.92130000000000001</v>
      </c>
      <c r="E26" s="992">
        <f>ROUNDDOWN(G3,1)</f>
        <v>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92">
        <f>ROUNDUP(G3,1)</f>
        <v>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1.0748</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255980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6896</v>
      </c>
      <c r="D33" s="1326">
        <f>'数据-汇总表'!E3</f>
        <v>371200</v>
      </c>
      <c r="E33" s="1635">
        <f>ROUND(C33*D33/10000,0)</f>
        <v>255980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1724</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72"/>
      <c r="B37" s="1344" t="s">
        <v>923</v>
      </c>
      <c r="C37" s="1005">
        <f>ROUND(D5*C22*C23*C24*C28*F37,0)</f>
        <v>3742</v>
      </c>
      <c r="D37" s="1356"/>
      <c r="E37" s="996">
        <f>ROUND(C37*D37/10000,0)</f>
        <v>0</v>
      </c>
      <c r="F37" s="996">
        <f>SUMIF(修正!A57:A68,G2,修正!B57:B68)</f>
        <v>0.5</v>
      </c>
      <c r="G37" s="996">
        <f>ROUND(IF(E2="工业",C37*$M$42,C37*$M$41),0)</f>
        <v>936</v>
      </c>
      <c r="H37" s="996">
        <f>D37</f>
        <v>0</v>
      </c>
      <c r="I37" s="996">
        <f>ROUND(G37*H37/10000,0)</f>
        <v>0</v>
      </c>
      <c r="J37" s="3872"/>
      <c r="K37" s="3642" t="s">
        <v>3246</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73"/>
      <c r="B38" s="1288" t="s">
        <v>924</v>
      </c>
      <c r="C38" s="1005">
        <f>ROUND(D5*C22*C23*C24*C28*F38,0)</f>
        <v>1497</v>
      </c>
      <c r="D38" s="1356"/>
      <c r="E38" s="996">
        <f t="shared" ref="E38:E42" si="4">ROUND(C38*D38/10000,0)</f>
        <v>0</v>
      </c>
      <c r="F38" s="996">
        <f>SUMIF(修正!A57:A68,G2,修正!C57:C68)</f>
        <v>0.2</v>
      </c>
      <c r="G38" s="996">
        <f>ROUND(IF(E2="工业",C38*$M$42,C38*$M$41),0)</f>
        <v>374</v>
      </c>
      <c r="H38" s="996">
        <f t="shared" ref="H38:H42" si="5">D38</f>
        <v>0</v>
      </c>
      <c r="I38" s="996">
        <f t="shared" ref="I38:I42" si="6">ROUND(G38*H38/10000,0)</f>
        <v>0</v>
      </c>
      <c r="J38" s="3873"/>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73"/>
      <c r="B39" s="3571" t="s">
        <v>3219</v>
      </c>
      <c r="C39" s="1005">
        <f>ROUND(D5*C22*C23*C24*C28*F39,0)</f>
        <v>1497</v>
      </c>
      <c r="D39" s="1356"/>
      <c r="E39" s="996">
        <f t="shared" si="4"/>
        <v>0</v>
      </c>
      <c r="F39" s="996">
        <f>SUMIF(修正!A57:A68,G2,修正!D57:D68)</f>
        <v>0.2</v>
      </c>
      <c r="G39" s="996">
        <f>ROUND(IF(E2="工业",C39*$M$42,C39*$M$41),0)</f>
        <v>374</v>
      </c>
      <c r="H39" s="996">
        <f t="shared" si="5"/>
        <v>0</v>
      </c>
      <c r="I39" s="996">
        <f t="shared" si="6"/>
        <v>0</v>
      </c>
      <c r="J39" s="387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1497</v>
      </c>
      <c r="D40" s="1356"/>
      <c r="E40" s="996">
        <f t="shared" si="4"/>
        <v>0</v>
      </c>
      <c r="F40" s="1005">
        <f>SUMIF(修正!A57:A68,G2,修正!E57:E68)</f>
        <v>0.2</v>
      </c>
      <c r="G40" s="996">
        <f>ROUND(IF(E2="工业",C40*$M$42,C40*$M$41),0)</f>
        <v>374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1.0748</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t="s">
        <v>3387</v>
      </c>
      <c r="D72" s="3599">
        <f t="shared" ref="D72:D80" si="17">SUMIF($J$71:$N$71,C72,J72:N72)</f>
        <v>1.4999999999999999E-2</v>
      </c>
      <c r="E72" s="3600">
        <f>ROUND(SUM(D72:D80),4)</f>
        <v>7.4800000000000005E-2</v>
      </c>
      <c r="F72" s="3601">
        <f>IF(E2="住宅",SUMIF(L1:L12,G2,N1:N12),"——")</f>
        <v>0.15</v>
      </c>
      <c r="G72" s="3616">
        <f>H72</f>
        <v>1.4999999999999999E-2</v>
      </c>
      <c r="H72" s="3617">
        <f t="shared" ref="H72:H80" si="18">IFERROR(ROUNDDOWN($F$72*I72/2,4),"——")</f>
        <v>1.4999999999999999E-2</v>
      </c>
      <c r="I72" s="3577">
        <v>0.2</v>
      </c>
      <c r="J72" s="3604">
        <f t="shared" ref="J72:J80" si="19">K72+$G72</f>
        <v>0.03</v>
      </c>
      <c r="K72" s="3604">
        <f t="shared" ref="K72:K80" si="20">$L72+$G72</f>
        <v>1.4999999999999999E-2</v>
      </c>
      <c r="L72" s="3604">
        <v>0</v>
      </c>
      <c r="M72" s="3604">
        <f t="shared" ref="M72:N80" si="21">L72-$G72</f>
        <v>-1.4999999999999999E-2</v>
      </c>
      <c r="N72" s="3604">
        <f t="shared" si="21"/>
        <v>-0.03</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t="s">
        <v>3387</v>
      </c>
      <c r="D73" s="3599">
        <f t="shared" si="17"/>
        <v>1.95E-2</v>
      </c>
      <c r="E73" s="3605"/>
      <c r="F73" s="3601"/>
      <c r="G73" s="3616">
        <f t="shared" ref="G73:G80" si="22">H73</f>
        <v>1.95E-2</v>
      </c>
      <c r="H73" s="3617">
        <f t="shared" si="18"/>
        <v>1.95E-2</v>
      </c>
      <c r="I73" s="3577">
        <v>0.26</v>
      </c>
      <c r="J73" s="3604">
        <f t="shared" si="19"/>
        <v>3.9E-2</v>
      </c>
      <c r="K73" s="3604">
        <f t="shared" si="20"/>
        <v>1.95E-2</v>
      </c>
      <c r="L73" s="3604">
        <v>0</v>
      </c>
      <c r="M73" s="3604">
        <f t="shared" si="21"/>
        <v>-1.95E-2</v>
      </c>
      <c r="N73" s="3604">
        <f t="shared" si="21"/>
        <v>-3.9E-2</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t="s">
        <v>3387</v>
      </c>
      <c r="D74" s="3599">
        <f t="shared" si="17"/>
        <v>7.4999999999999997E-3</v>
      </c>
      <c r="E74" s="3605"/>
      <c r="F74" s="3601"/>
      <c r="G74" s="3616">
        <f t="shared" si="22"/>
        <v>7.4999999999999997E-3</v>
      </c>
      <c r="H74" s="3617">
        <f t="shared" si="18"/>
        <v>7.4999999999999997E-3</v>
      </c>
      <c r="I74" s="3577">
        <v>0.1</v>
      </c>
      <c r="J74" s="3604">
        <f t="shared" si="19"/>
        <v>1.4999999999999999E-2</v>
      </c>
      <c r="K74" s="3604">
        <f t="shared" si="20"/>
        <v>7.4999999999999997E-3</v>
      </c>
      <c r="L74" s="3604">
        <v>0</v>
      </c>
      <c r="M74" s="3604">
        <f t="shared" si="21"/>
        <v>-7.4999999999999997E-3</v>
      </c>
      <c r="N74" s="3604">
        <f t="shared" si="21"/>
        <v>-1.4999999999999999E-2</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t="s">
        <v>3387</v>
      </c>
      <c r="D75" s="3599">
        <f t="shared" si="17"/>
        <v>3.7000000000000002E-3</v>
      </c>
      <c r="E75" s="3605"/>
      <c r="F75" s="3601"/>
      <c r="G75" s="3616">
        <f t="shared" si="22"/>
        <v>3.7000000000000002E-3</v>
      </c>
      <c r="H75" s="3617">
        <f t="shared" si="18"/>
        <v>3.7000000000000002E-3</v>
      </c>
      <c r="I75" s="3577">
        <v>0.05</v>
      </c>
      <c r="J75" s="3604">
        <f t="shared" si="19"/>
        <v>7.4000000000000003E-3</v>
      </c>
      <c r="K75" s="3604">
        <f t="shared" si="20"/>
        <v>3.7000000000000002E-3</v>
      </c>
      <c r="L75" s="3604">
        <v>0</v>
      </c>
      <c r="M75" s="3604">
        <f t="shared" si="21"/>
        <v>-3.7000000000000002E-3</v>
      </c>
      <c r="N75" s="3604">
        <f t="shared" si="21"/>
        <v>-7.4000000000000003E-3</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t="s">
        <v>3387</v>
      </c>
      <c r="D76" s="3599">
        <f t="shared" si="17"/>
        <v>6.0000000000000001E-3</v>
      </c>
      <c r="E76" s="3605"/>
      <c r="F76" s="3601"/>
      <c r="G76" s="3616">
        <f t="shared" si="22"/>
        <v>6.0000000000000001E-3</v>
      </c>
      <c r="H76" s="3617">
        <f t="shared" si="18"/>
        <v>6.0000000000000001E-3</v>
      </c>
      <c r="I76" s="3577">
        <v>0.08</v>
      </c>
      <c r="J76" s="3604">
        <f t="shared" si="19"/>
        <v>1.2E-2</v>
      </c>
      <c r="K76" s="3604">
        <f t="shared" si="20"/>
        <v>6.0000000000000001E-3</v>
      </c>
      <c r="L76" s="3604">
        <v>0</v>
      </c>
      <c r="M76" s="3604">
        <f t="shared" si="21"/>
        <v>-6.0000000000000001E-3</v>
      </c>
      <c r="N76" s="3604">
        <f t="shared" si="21"/>
        <v>-1.2E-2</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t="s">
        <v>3387</v>
      </c>
      <c r="D77" s="3599">
        <f t="shared" si="17"/>
        <v>6.7000000000000002E-3</v>
      </c>
      <c r="E77" s="3605"/>
      <c r="F77" s="3601"/>
      <c r="G77" s="3616">
        <f t="shared" si="22"/>
        <v>6.7000000000000002E-3</v>
      </c>
      <c r="H77" s="3617">
        <f t="shared" si="18"/>
        <v>6.7000000000000002E-3</v>
      </c>
      <c r="I77" s="3577">
        <v>0.09</v>
      </c>
      <c r="J77" s="3604">
        <f t="shared" si="19"/>
        <v>1.34E-2</v>
      </c>
      <c r="K77" s="3604">
        <f t="shared" si="20"/>
        <v>6.7000000000000002E-3</v>
      </c>
      <c r="L77" s="3604">
        <v>0</v>
      </c>
      <c r="M77" s="3604">
        <f t="shared" si="21"/>
        <v>-6.7000000000000002E-3</v>
      </c>
      <c r="N77" s="3604">
        <f t="shared" si="21"/>
        <v>-1.34E-2</v>
      </c>
      <c r="O77" s="3584"/>
      <c r="P77" s="1920"/>
      <c r="Q77" s="1920"/>
      <c r="AE77" s="3584"/>
      <c r="AF77" s="3584"/>
      <c r="AG77" s="3584"/>
      <c r="AH77" s="3584"/>
      <c r="AI77" s="3584"/>
      <c r="AJ77" s="3584"/>
    </row>
    <row r="78" spans="1:36" s="1348" customFormat="1" ht="24">
      <c r="A78" s="3590" t="s">
        <v>947</v>
      </c>
      <c r="B78" s="3607" t="s">
        <v>2199</v>
      </c>
      <c r="C78" s="3615" t="s">
        <v>3387</v>
      </c>
      <c r="D78" s="3599">
        <f t="shared" si="17"/>
        <v>3.7000000000000002E-3</v>
      </c>
      <c r="E78" s="3605"/>
      <c r="F78" s="3601"/>
      <c r="G78" s="3616">
        <f t="shared" si="22"/>
        <v>3.7000000000000002E-3</v>
      </c>
      <c r="H78" s="3617">
        <f t="shared" si="18"/>
        <v>3.7000000000000002E-3</v>
      </c>
      <c r="I78" s="3577">
        <v>0.05</v>
      </c>
      <c r="J78" s="3604">
        <f t="shared" si="19"/>
        <v>7.4000000000000003E-3</v>
      </c>
      <c r="K78" s="3604">
        <f t="shared" si="20"/>
        <v>3.7000000000000002E-3</v>
      </c>
      <c r="L78" s="3604">
        <v>0</v>
      </c>
      <c r="M78" s="3604">
        <f t="shared" si="21"/>
        <v>-3.7000000000000002E-3</v>
      </c>
      <c r="N78" s="3604">
        <f t="shared" si="21"/>
        <v>-7.4000000000000003E-3</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t="s">
        <v>3387</v>
      </c>
      <c r="D79" s="3599">
        <f t="shared" si="17"/>
        <v>8.9999999999999993E-3</v>
      </c>
      <c r="E79" s="3605"/>
      <c r="F79" s="3601"/>
      <c r="G79" s="3616">
        <f t="shared" si="22"/>
        <v>8.9999999999999993E-3</v>
      </c>
      <c r="H79" s="3617">
        <f t="shared" si="18"/>
        <v>8.9999999999999993E-3</v>
      </c>
      <c r="I79" s="3577">
        <v>0.12</v>
      </c>
      <c r="J79" s="3604">
        <f t="shared" si="19"/>
        <v>1.7999999999999999E-2</v>
      </c>
      <c r="K79" s="3604">
        <f t="shared" si="20"/>
        <v>8.9999999999999993E-3</v>
      </c>
      <c r="L79" s="3604">
        <v>0</v>
      </c>
      <c r="M79" s="3604">
        <f t="shared" si="21"/>
        <v>-8.9999999999999993E-3</v>
      </c>
      <c r="N79" s="3604">
        <f t="shared" si="21"/>
        <v>-1.7999999999999999E-2</v>
      </c>
      <c r="P79" s="3618"/>
      <c r="Q79" s="3618"/>
      <c r="AE79" s="3584"/>
      <c r="AF79" s="3584"/>
      <c r="AG79" s="3584"/>
      <c r="AH79" s="3584"/>
      <c r="AI79" s="3584"/>
      <c r="AJ79" s="3584"/>
    </row>
    <row r="80" spans="1:36" s="1348" customFormat="1" ht="24.75" thickBot="1">
      <c r="A80" s="3610" t="s">
        <v>957</v>
      </c>
      <c r="B80" s="3619"/>
      <c r="C80" s="3615" t="s">
        <v>3387</v>
      </c>
      <c r="D80" s="3599">
        <f t="shared" si="17"/>
        <v>3.7000000000000002E-3</v>
      </c>
      <c r="E80" s="3612"/>
      <c r="F80" s="3601"/>
      <c r="G80" s="3616">
        <f t="shared" si="22"/>
        <v>3.7000000000000002E-3</v>
      </c>
      <c r="H80" s="3617">
        <f t="shared" si="18"/>
        <v>3.7000000000000002E-3</v>
      </c>
      <c r="I80" s="3579">
        <v>0.05</v>
      </c>
      <c r="J80" s="3604">
        <f t="shared" si="19"/>
        <v>7.4000000000000003E-3</v>
      </c>
      <c r="K80" s="3604">
        <f t="shared" si="20"/>
        <v>3.7000000000000002E-3</v>
      </c>
      <c r="L80" s="3604">
        <v>0</v>
      </c>
      <c r="M80" s="3604">
        <f t="shared" si="21"/>
        <v>-3.7000000000000002E-3</v>
      </c>
      <c r="N80" s="3604">
        <f t="shared" si="21"/>
        <v>-7.4000000000000003E-3</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2199</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36">
      <c r="A95" s="3629" t="s">
        <v>3221</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6.75">
      <c r="A96" s="3574" t="s">
        <v>3225</v>
      </c>
      <c r="B96" s="3578" t="s">
        <v>3226</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3227</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24">
      <c r="A98" s="3574" t="s">
        <v>3234</v>
      </c>
      <c r="B98" s="3606" t="s">
        <v>2199</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66" t="s">
        <v>1172</v>
      </c>
      <c r="B104" s="3866"/>
      <c r="C104" s="3866"/>
      <c r="D104" s="3866"/>
      <c r="E104" s="3866"/>
      <c r="F104" s="3866"/>
      <c r="G104" s="3866"/>
      <c r="H104" s="3866"/>
      <c r="I104" s="3866"/>
      <c r="J104" s="3866"/>
      <c r="K104" s="2103"/>
      <c r="L104" s="2103"/>
      <c r="M104" s="2103"/>
      <c r="N104" s="2103"/>
    </row>
    <row r="105" spans="1:36">
      <c r="A105" s="3867" t="s">
        <v>1161</v>
      </c>
      <c r="B105" s="3867" t="s">
        <v>1173</v>
      </c>
      <c r="C105" s="1041" t="s">
        <v>1174</v>
      </c>
      <c r="D105" s="1042"/>
      <c r="E105" s="1042"/>
      <c r="F105" s="1042"/>
      <c r="G105" s="1042"/>
      <c r="H105" s="1042"/>
      <c r="I105" s="1042"/>
      <c r="J105" s="1043"/>
      <c r="K105" s="1035"/>
      <c r="L105" s="1035"/>
      <c r="M105" s="1035"/>
      <c r="N105" s="1035"/>
    </row>
    <row r="106" spans="1:36">
      <c r="A106" s="3867"/>
      <c r="B106" s="3867"/>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6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6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6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6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6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69"/>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7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71" t="s">
        <v>1175</v>
      </c>
      <c r="B114" s="3871"/>
      <c r="C114" s="3871"/>
      <c r="D114" s="3871"/>
      <c r="E114" s="3871"/>
      <c r="F114" s="3871"/>
      <c r="G114" s="3871"/>
      <c r="H114" s="3871"/>
      <c r="I114" s="3871"/>
      <c r="J114" s="3871"/>
      <c r="K114" s="2101"/>
      <c r="L114" s="2101"/>
      <c r="M114" s="2101"/>
      <c r="N114" s="2101"/>
    </row>
    <row r="116" spans="1:14" ht="12.75" thickBot="1"/>
    <row r="117" spans="1:14" ht="25.5" thickBot="1">
      <c r="A117" s="976" t="s">
        <v>831</v>
      </c>
      <c r="B117" s="2104">
        <f>G3</f>
        <v>2</v>
      </c>
      <c r="C117" s="977" t="s">
        <v>832</v>
      </c>
      <c r="D117" s="978" t="e">
        <f>SUMPRODUCT((A118:A122=F116)*(B117:M117=H116)*B118:M122)</f>
        <v>#VALUE!</v>
      </c>
      <c r="E117" s="979" t="s">
        <v>833</v>
      </c>
      <c r="F117" s="980" t="str">
        <f>E2</f>
        <v>住宅</v>
      </c>
      <c r="G117" s="979" t="s">
        <v>834</v>
      </c>
      <c r="H117" s="980" t="str">
        <f>G2</f>
        <v>九级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0.9748</v>
      </c>
      <c r="C119" s="3575">
        <f>B119</f>
        <v>0.9748</v>
      </c>
      <c r="D119" s="3575">
        <f>ROUND(0.949-0.014*B117,4)</f>
        <v>0.92100000000000004</v>
      </c>
      <c r="E119" s="3575">
        <f>D119</f>
        <v>0.92100000000000004</v>
      </c>
      <c r="F119" s="3575">
        <f>E119</f>
        <v>0.92100000000000004</v>
      </c>
      <c r="G119" s="3575">
        <f>F119</f>
        <v>0.92100000000000004</v>
      </c>
      <c r="H119" s="3575">
        <f>G119</f>
        <v>0.92100000000000004</v>
      </c>
      <c r="I119" s="3575">
        <f>ROUND(0.8486-0.018*B117,4)</f>
        <v>0.81259999999999999</v>
      </c>
      <c r="J119" s="3575">
        <f t="shared" ref="J119:M123" si="36">I119</f>
        <v>0.81259999999999999</v>
      </c>
      <c r="K119" s="3575">
        <f t="shared" si="36"/>
        <v>0.81259999999999999</v>
      </c>
      <c r="L119" s="3575">
        <f t="shared" si="36"/>
        <v>0.81259999999999999</v>
      </c>
      <c r="M119" s="3636">
        <f t="shared" si="36"/>
        <v>0.81259999999999999</v>
      </c>
    </row>
    <row r="120" spans="1:14" ht="12.75">
      <c r="A120" s="3633" t="s">
        <v>3239</v>
      </c>
      <c r="B120" s="3575">
        <f>ROUND(0.993-0.0112*B117,4)</f>
        <v>0.97060000000000002</v>
      </c>
      <c r="C120" s="3575">
        <f>B120</f>
        <v>0.97060000000000002</v>
      </c>
      <c r="D120" s="3575">
        <f>ROUND(0.9415-0.0142*B117,4)</f>
        <v>0.91310000000000002</v>
      </c>
      <c r="E120" s="3575">
        <f t="shared" ref="E120:H121" si="37">D120</f>
        <v>0.91310000000000002</v>
      </c>
      <c r="F120" s="3575">
        <f t="shared" si="37"/>
        <v>0.91310000000000002</v>
      </c>
      <c r="G120" s="3575">
        <f t="shared" si="37"/>
        <v>0.91310000000000002</v>
      </c>
      <c r="H120" s="3575">
        <f t="shared" si="37"/>
        <v>0.91310000000000002</v>
      </c>
      <c r="I120" s="3575">
        <f>ROUND(0.838-0.0182*B117,4)</f>
        <v>0.80159999999999998</v>
      </c>
      <c r="J120" s="3575">
        <f t="shared" si="36"/>
        <v>0.80159999999999998</v>
      </c>
      <c r="K120" s="3575">
        <f t="shared" si="36"/>
        <v>0.80159999999999998</v>
      </c>
      <c r="L120" s="3575">
        <f t="shared" si="36"/>
        <v>0.80159999999999998</v>
      </c>
      <c r="M120" s="3636">
        <f t="shared" si="36"/>
        <v>0.80159999999999998</v>
      </c>
    </row>
    <row r="121" spans="1:14" ht="12.75">
      <c r="A121" s="3633" t="s">
        <v>3240</v>
      </c>
      <c r="B121" s="3575">
        <f>ROUND(0.9448-0.0115*B117,4)</f>
        <v>0.92179999999999995</v>
      </c>
      <c r="C121" s="3575">
        <f>B121</f>
        <v>0.92179999999999995</v>
      </c>
      <c r="D121" s="3575">
        <f>ROUND(0.937-0.0145*B117,4)</f>
        <v>0.90800000000000003</v>
      </c>
      <c r="E121" s="3575">
        <f t="shared" si="37"/>
        <v>0.90800000000000003</v>
      </c>
      <c r="F121" s="3575">
        <f t="shared" si="37"/>
        <v>0.90800000000000003</v>
      </c>
      <c r="G121" s="3575">
        <f t="shared" si="37"/>
        <v>0.90800000000000003</v>
      </c>
      <c r="H121" s="3575">
        <f t="shared" si="37"/>
        <v>0.90800000000000003</v>
      </c>
      <c r="I121" s="3575">
        <f>ROUND(0.7965-0.0185*B117,4)</f>
        <v>0.75949999999999995</v>
      </c>
      <c r="J121" s="3575">
        <f t="shared" si="36"/>
        <v>0.75949999999999995</v>
      </c>
      <c r="K121" s="3575">
        <f t="shared" si="36"/>
        <v>0.75949999999999995</v>
      </c>
      <c r="L121" s="3575">
        <f t="shared" si="36"/>
        <v>0.75949999999999995</v>
      </c>
      <c r="M121" s="3636">
        <f t="shared" si="36"/>
        <v>0.75949999999999995</v>
      </c>
    </row>
    <row r="122" spans="1:14" ht="13.5" thickBot="1">
      <c r="A122" s="3634" t="s">
        <v>3241</v>
      </c>
      <c r="B122" s="3637">
        <f>ROUND(0.7836-0.012*B117,4)</f>
        <v>0.75960000000000005</v>
      </c>
      <c r="C122" s="3637">
        <f>B122</f>
        <v>0.75960000000000005</v>
      </c>
      <c r="D122" s="3637">
        <f>ROUND(0.753-0.015*B117,4)</f>
        <v>0.72299999999999998</v>
      </c>
      <c r="E122" s="3637">
        <f>D122</f>
        <v>0.72299999999999998</v>
      </c>
      <c r="F122" s="3637">
        <f>E122</f>
        <v>0.72299999999999998</v>
      </c>
      <c r="G122" s="3637">
        <f>ROUND(0.6612-0.018*B117,4)</f>
        <v>0.62519999999999998</v>
      </c>
      <c r="H122" s="3637">
        <f>G122</f>
        <v>0.62519999999999998</v>
      </c>
      <c r="I122" s="3637">
        <f>ROUND(0.5905-0.019*B117,4)</f>
        <v>0.55249999999999999</v>
      </c>
      <c r="J122" s="3637">
        <f t="shared" si="36"/>
        <v>0.55249999999999999</v>
      </c>
      <c r="K122" s="3637">
        <f t="shared" si="36"/>
        <v>0.55249999999999999</v>
      </c>
      <c r="L122" s="3637">
        <f t="shared" si="36"/>
        <v>0.55249999999999999</v>
      </c>
      <c r="M122" s="3638">
        <f t="shared" si="36"/>
        <v>0.55249999999999999</v>
      </c>
    </row>
    <row r="123" spans="1:14" ht="12.75">
      <c r="A123" s="3635" t="s">
        <v>3222</v>
      </c>
      <c r="B123" s="3575">
        <f>ROUND(0.9404-0.0106*B117,4)</f>
        <v>0.91920000000000002</v>
      </c>
      <c r="C123" s="3575">
        <f>B123</f>
        <v>0.91920000000000002</v>
      </c>
      <c r="D123" s="3575">
        <f>ROUND(0.8955-0.0135*B117,4)</f>
        <v>0.86850000000000005</v>
      </c>
      <c r="E123" s="3575">
        <f t="shared" ref="E123:H123" si="38">D123</f>
        <v>0.86850000000000005</v>
      </c>
      <c r="F123" s="3575">
        <f t="shared" si="38"/>
        <v>0.86850000000000005</v>
      </c>
      <c r="G123" s="3575">
        <f t="shared" si="38"/>
        <v>0.86850000000000005</v>
      </c>
      <c r="H123" s="3575">
        <f t="shared" si="38"/>
        <v>0.86850000000000005</v>
      </c>
      <c r="I123" s="3575">
        <f>ROUND(0.7632-0.0166*B117,4)</f>
        <v>0.73</v>
      </c>
      <c r="J123" s="3575">
        <f t="shared" si="36"/>
        <v>0.73</v>
      </c>
      <c r="K123" s="3575">
        <f t="shared" si="36"/>
        <v>0.73</v>
      </c>
      <c r="L123" s="3575">
        <f t="shared" si="36"/>
        <v>0.73</v>
      </c>
      <c r="M123" s="3636">
        <f t="shared" si="36"/>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24" sqref="J2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851</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c r="E7" s="423"/>
      <c r="F7" s="423"/>
      <c r="G7" s="423"/>
      <c r="H7" s="423"/>
      <c r="I7" s="423"/>
      <c r="J7" s="423"/>
      <c r="K7" s="424"/>
      <c r="AA7" s="1835"/>
      <c r="AB7" s="1835"/>
      <c r="AC7" s="1835"/>
      <c r="AD7" s="1835"/>
      <c r="AE7" s="1835"/>
    </row>
    <row r="8" spans="1:31" s="1838" customFormat="1" ht="13.5" customHeight="1">
      <c r="A8" s="769" t="s">
        <v>1374</v>
      </c>
      <c r="B8" s="252" t="s">
        <v>432</v>
      </c>
      <c r="C8" s="2314">
        <v>55000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SUMIF('数据-汇总表'!$C19:$C33,'剩余法-住宅'!C7,'数据-汇总表'!$E19:$E33)</f>
        <v>0</v>
      </c>
      <c r="D9" s="428">
        <f>SUMIF('数据-汇总表'!$C19:$C33,'剩余法-住宅'!D7,'数据-汇总表'!$E19:$E33)</f>
        <v>0</v>
      </c>
      <c r="E9" s="428">
        <f>SUMIF('数据-汇总表'!$C19:$C33,'剩余法-住宅'!E7,'数据-汇总表'!$E19:$E33)</f>
        <v>0</v>
      </c>
      <c r="F9" s="428">
        <f>SUMIF('数据-汇总表'!$C19:$C33,'剩余法-住宅'!F7,'数据-汇总表'!$E19:$E33)</f>
        <v>0</v>
      </c>
      <c r="G9" s="428">
        <f>SUMIF('数据-汇总表'!$C19:$C33,'剩余法-住宅'!G7,'数据-汇总表'!$E19:$E33)</f>
        <v>0</v>
      </c>
      <c r="H9" s="428">
        <f>SUMIF('数据-汇总表'!$C19:$C33,'剩余法-住宅'!H7,'数据-汇总表'!$E19:$E33)</f>
        <v>0</v>
      </c>
      <c r="I9" s="428">
        <f>SUMIF('数据-汇总表'!$C19:$C33,'剩余法-住宅'!I7,'数据-汇总表'!$E19:$E33)</f>
        <v>0</v>
      </c>
      <c r="J9" s="428">
        <f>SUMIF('数据-汇总表'!$C19:$C33,'剩余法-住宅'!J7,'数据-汇总表'!$E19:$E33)</f>
        <v>0</v>
      </c>
      <c r="K9" s="429">
        <f>SUMIF('数据-汇总表'!$C19:$C33,'剩余法-住宅'!K7,'数据-汇总表'!$E19:$E33)</f>
        <v>0</v>
      </c>
      <c r="AA9" s="1837"/>
      <c r="AB9" s="1837"/>
      <c r="AC9" s="1837"/>
      <c r="AD9" s="1837"/>
      <c r="AE9" s="1837"/>
    </row>
    <row r="10" spans="1:31" s="1838" customFormat="1" ht="13.5" customHeight="1" thickBot="1">
      <c r="A10" s="2316" t="s">
        <v>1376</v>
      </c>
      <c r="B10" s="2302" t="s">
        <v>434</v>
      </c>
      <c r="C10" s="2502">
        <f>ROUND(C8*C9/10000,0)</f>
        <v>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3663" t="s">
        <v>436</v>
      </c>
      <c r="E12" s="3663" t="s">
        <v>437</v>
      </c>
      <c r="F12" s="3663"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3663">
        <f ca="1">ROUND(D19*E19/10000,0)</f>
        <v>0</v>
      </c>
      <c r="D19" s="2334">
        <f ca="1">D16</f>
        <v>0</v>
      </c>
      <c r="E19" s="3663">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3663">
        <f ca="1">C21+C22-IF(B1="",'数据-取费表'!B29,IF(G20="已全部缴纳",C21+C22,H20))</f>
        <v>0</v>
      </c>
      <c r="D20" s="2334"/>
      <c r="E20" s="3663"/>
      <c r="F20" s="2335"/>
      <c r="G20" s="2533" t="s">
        <v>3380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455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9.7299999999999998E-2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0</v>
      </c>
      <c r="D33" s="453">
        <f ca="1">C34</f>
        <v>0.25</v>
      </c>
      <c r="E33" s="455" t="s">
        <v>455</v>
      </c>
      <c r="F33" s="465">
        <f ca="1">IF(B1="",'数据-取费表'!Q16,INDIRECT("'数据-取费表'!q"&amp;$K$1))</f>
        <v>0.25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0.25</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185600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9280</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0.1</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7424</v>
      </c>
      <c r="D16" s="437">
        <f ca="1">IF(B1="",'数据-汇总表'!E3,INDIRECT("'数据-取费表'!K"&amp;$K$1)+INDIRECT("'数据-取费表'!S"&amp;$K$1))</f>
        <v>371200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2784</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205088</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4102</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9937</v>
      </c>
      <c r="D20" s="448">
        <f ca="1">ROUND(((1+F20)^'数据-取费表'!B20)-1,4)</f>
        <v>9.7299999999999998E-2</v>
      </c>
      <c r="E20" s="448"/>
      <c r="F20" s="457">
        <f ca="1">'数据-取费表'!B40</f>
        <v>4.7500000000000001E-2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41838</v>
      </c>
      <c r="D21" s="3029"/>
      <c r="E21" s="448"/>
      <c r="F21" s="465">
        <f ca="1">IF(B1="",'数据-取费表'!Q16,INDIRECT("'数据-取费表'!q"&amp;$K$1))</f>
        <v>0.2</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81" t="s">
        <v>1394</v>
      </c>
      <c r="B24" s="3882"/>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81" t="s">
        <v>2296</v>
      </c>
      <c r="B25" s="3882"/>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81" t="s">
        <v>2297</v>
      </c>
      <c r="B26" s="3882"/>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83" t="s">
        <v>2295</v>
      </c>
      <c r="B27" s="3884"/>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08" t="s">
        <v>471</v>
      </c>
      <c r="D6" s="3909"/>
      <c r="E6" s="3908" t="s">
        <v>472</v>
      </c>
      <c r="F6" s="3909"/>
      <c r="G6" s="3908" t="s">
        <v>473</v>
      </c>
      <c r="H6" s="3909"/>
      <c r="I6" s="3908" t="s">
        <v>474</v>
      </c>
      <c r="J6" s="3909"/>
      <c r="K6" s="484" t="s">
        <v>475</v>
      </c>
      <c r="L6" s="1856"/>
      <c r="M6" s="1855"/>
      <c r="N6" s="1855"/>
      <c r="O6" s="1857"/>
      <c r="P6" s="3910" t="s">
        <v>476</v>
      </c>
      <c r="Q6" s="3911"/>
      <c r="R6" s="3894" t="s">
        <v>472</v>
      </c>
      <c r="S6" s="3895"/>
      <c r="T6" s="3894" t="s">
        <v>473</v>
      </c>
      <c r="U6" s="3895"/>
      <c r="V6" s="3916" t="s">
        <v>474</v>
      </c>
      <c r="W6" s="3916"/>
      <c r="X6" s="1380"/>
      <c r="Y6" s="3894" t="s">
        <v>476</v>
      </c>
      <c r="Z6" s="3895"/>
      <c r="AA6" s="3889" t="s">
        <v>472</v>
      </c>
      <c r="AB6" s="3890" t="s">
        <v>473</v>
      </c>
      <c r="AC6" s="3889" t="s">
        <v>474</v>
      </c>
    </row>
    <row r="7" spans="1:30" ht="20.25">
      <c r="A7" s="485"/>
      <c r="B7" s="486"/>
      <c r="C7" s="3919" t="s">
        <v>2192</v>
      </c>
      <c r="D7" s="3920"/>
      <c r="E7" s="3919" t="s">
        <v>2193</v>
      </c>
      <c r="F7" s="3920"/>
      <c r="G7" s="3919" t="s">
        <v>2194</v>
      </c>
      <c r="H7" s="3920"/>
      <c r="I7" s="3919" t="s">
        <v>2195</v>
      </c>
      <c r="J7" s="3920"/>
      <c r="K7" s="484"/>
      <c r="L7" s="1856"/>
      <c r="M7" s="1855"/>
      <c r="N7" s="1855"/>
      <c r="O7" s="1857"/>
      <c r="P7" s="3912"/>
      <c r="Q7" s="3913"/>
      <c r="R7" s="3896"/>
      <c r="S7" s="3897"/>
      <c r="T7" s="3896"/>
      <c r="U7" s="3897"/>
      <c r="V7" s="3916"/>
      <c r="W7" s="3916"/>
      <c r="X7" s="1380"/>
      <c r="Y7" s="3896"/>
      <c r="Z7" s="3897"/>
      <c r="AA7" s="3890"/>
      <c r="AB7" s="3890"/>
      <c r="AC7" s="3890"/>
    </row>
    <row r="8" spans="1:30" ht="21" thickBot="1">
      <c r="A8" s="485"/>
      <c r="B8" s="486"/>
      <c r="C8" s="3921" t="s">
        <v>2196</v>
      </c>
      <c r="D8" s="3922"/>
      <c r="E8" s="3921" t="s">
        <v>2196</v>
      </c>
      <c r="F8" s="3922"/>
      <c r="G8" s="3917" t="s">
        <v>2196</v>
      </c>
      <c r="H8" s="3918"/>
      <c r="I8" s="3917" t="s">
        <v>2196</v>
      </c>
      <c r="J8" s="3918"/>
      <c r="K8" s="484" t="s">
        <v>477</v>
      </c>
      <c r="L8" s="1856"/>
      <c r="M8" s="1855"/>
      <c r="N8" s="1855"/>
      <c r="O8" s="1857"/>
      <c r="P8" s="3914"/>
      <c r="Q8" s="3915"/>
      <c r="R8" s="3896"/>
      <c r="S8" s="3897"/>
      <c r="T8" s="3898"/>
      <c r="U8" s="3899"/>
      <c r="V8" s="3916"/>
      <c r="W8" s="3916"/>
      <c r="X8" s="1380"/>
      <c r="Y8" s="3898"/>
      <c r="Z8" s="3899"/>
      <c r="AA8" s="3891"/>
      <c r="AB8" s="3891"/>
      <c r="AC8" s="3891"/>
    </row>
    <row r="9" spans="1:30" s="1118" customFormat="1" ht="21" thickBot="1">
      <c r="A9" s="2392"/>
      <c r="B9" s="2399" t="s">
        <v>478</v>
      </c>
      <c r="C9" s="2391">
        <f>'数据-取费表'!B2</f>
        <v>44994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92" t="s">
        <v>479</v>
      </c>
      <c r="Q9" s="3901"/>
      <c r="R9" s="1381" t="s">
        <v>5</v>
      </c>
      <c r="S9" s="1382">
        <f t="shared" ref="S9:S17" si="0">F9</f>
        <v>0</v>
      </c>
      <c r="T9" s="1381" t="s">
        <v>5</v>
      </c>
      <c r="U9" s="1382">
        <f t="shared" ref="U9:U17" si="1">H9</f>
        <v>0</v>
      </c>
      <c r="V9" s="1381" t="s">
        <v>5</v>
      </c>
      <c r="W9" s="1382">
        <f t="shared" ref="W9:W17" si="2">J9</f>
        <v>0</v>
      </c>
      <c r="X9" s="1383"/>
      <c r="Y9" s="3892" t="s">
        <v>479</v>
      </c>
      <c r="Z9" s="3893"/>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92" t="s">
        <v>482</v>
      </c>
      <c r="Q10" s="3893"/>
      <c r="R10" s="1381" t="s">
        <v>5</v>
      </c>
      <c r="S10" s="1382">
        <f t="shared" si="0"/>
        <v>0</v>
      </c>
      <c r="T10" s="1381" t="s">
        <v>5</v>
      </c>
      <c r="U10" s="1382">
        <f t="shared" si="1"/>
        <v>0</v>
      </c>
      <c r="V10" s="1381" t="s">
        <v>5</v>
      </c>
      <c r="W10" s="1382">
        <f t="shared" si="2"/>
        <v>0</v>
      </c>
      <c r="X10" s="1383"/>
      <c r="Y10" s="3892" t="s">
        <v>482</v>
      </c>
      <c r="Z10" s="3893"/>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00" t="s">
        <v>484</v>
      </c>
      <c r="Q11" s="1050" t="str">
        <f t="shared" ref="Q11:Q17" si="6">B11</f>
        <v>用途</v>
      </c>
      <c r="R11" s="1381" t="s">
        <v>5</v>
      </c>
      <c r="S11" s="1382">
        <f t="shared" si="0"/>
        <v>100</v>
      </c>
      <c r="T11" s="1381" t="s">
        <v>5</v>
      </c>
      <c r="U11" s="1382">
        <f t="shared" si="1"/>
        <v>100</v>
      </c>
      <c r="V11" s="1381" t="s">
        <v>5</v>
      </c>
      <c r="W11" s="1382">
        <f t="shared" si="2"/>
        <v>100</v>
      </c>
      <c r="X11" s="1383"/>
      <c r="Y11" s="3833"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00"/>
      <c r="Q12" s="1050" t="str">
        <f t="shared" si="6"/>
        <v>土地使用年限（年）</v>
      </c>
      <c r="R12" s="1381" t="s">
        <v>5</v>
      </c>
      <c r="S12" s="1382">
        <f t="shared" si="0"/>
        <v>100</v>
      </c>
      <c r="T12" s="1381" t="s">
        <v>5</v>
      </c>
      <c r="U12" s="1382">
        <f t="shared" si="1"/>
        <v>100</v>
      </c>
      <c r="V12" s="1381" t="s">
        <v>5</v>
      </c>
      <c r="W12" s="1382">
        <f t="shared" si="2"/>
        <v>100</v>
      </c>
      <c r="X12" s="1383"/>
      <c r="Y12" s="3833"/>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00"/>
      <c r="Q13" s="1050" t="str">
        <f t="shared" si="6"/>
        <v>容积率</v>
      </c>
      <c r="R13" s="1381" t="s">
        <v>5</v>
      </c>
      <c r="S13" s="1382" t="e">
        <f t="shared" si="0"/>
        <v>#N/A</v>
      </c>
      <c r="T13" s="1381" t="s">
        <v>5</v>
      </c>
      <c r="U13" s="1382" t="e">
        <f t="shared" si="1"/>
        <v>#N/A</v>
      </c>
      <c r="V13" s="1381" t="s">
        <v>5</v>
      </c>
      <c r="W13" s="1382" t="e">
        <f t="shared" si="2"/>
        <v>#N/A</v>
      </c>
      <c r="X13" s="1383"/>
      <c r="Y13" s="3833"/>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00"/>
      <c r="Q14" s="1050" t="str">
        <f t="shared" si="6"/>
        <v>配建</v>
      </c>
      <c r="R14" s="1381" t="s">
        <v>5</v>
      </c>
      <c r="S14" s="1382">
        <f t="shared" si="0"/>
        <v>100</v>
      </c>
      <c r="T14" s="1381" t="s">
        <v>5</v>
      </c>
      <c r="U14" s="1382">
        <f t="shared" si="1"/>
        <v>100</v>
      </c>
      <c r="V14" s="1381" t="s">
        <v>5</v>
      </c>
      <c r="W14" s="1382">
        <f t="shared" si="2"/>
        <v>100</v>
      </c>
      <c r="X14" s="1383"/>
      <c r="Y14" s="3833"/>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00"/>
      <c r="Q15" s="1050">
        <f t="shared" si="6"/>
        <v>111</v>
      </c>
      <c r="R15" s="1381" t="s">
        <v>5</v>
      </c>
      <c r="S15" s="1382">
        <f t="shared" si="0"/>
        <v>100</v>
      </c>
      <c r="T15" s="1381" t="s">
        <v>5</v>
      </c>
      <c r="U15" s="1382">
        <f t="shared" si="1"/>
        <v>100</v>
      </c>
      <c r="V15" s="1381" t="s">
        <v>5</v>
      </c>
      <c r="W15" s="1382">
        <f t="shared" si="2"/>
        <v>100</v>
      </c>
      <c r="X15" s="1383"/>
      <c r="Y15" s="3833"/>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00"/>
      <c r="Q16" s="1050">
        <f t="shared" si="6"/>
        <v>111</v>
      </c>
      <c r="R16" s="1381" t="s">
        <v>5</v>
      </c>
      <c r="S16" s="1382">
        <f t="shared" si="0"/>
        <v>100</v>
      </c>
      <c r="T16" s="1381" t="s">
        <v>5</v>
      </c>
      <c r="U16" s="1382">
        <f t="shared" si="1"/>
        <v>100</v>
      </c>
      <c r="V16" s="1381" t="s">
        <v>5</v>
      </c>
      <c r="W16" s="1382">
        <f t="shared" si="2"/>
        <v>100</v>
      </c>
      <c r="X16" s="1383"/>
      <c r="Y16" s="3833"/>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02" t="s">
        <v>489</v>
      </c>
      <c r="Q17" s="1385" t="str">
        <f t="shared" si="6"/>
        <v>居住社区成熟度</v>
      </c>
      <c r="R17" s="1386" t="s">
        <v>5</v>
      </c>
      <c r="S17" s="1387">
        <f t="shared" si="0"/>
        <v>100</v>
      </c>
      <c r="T17" s="1386" t="s">
        <v>5</v>
      </c>
      <c r="U17" s="1387">
        <f t="shared" si="1"/>
        <v>100</v>
      </c>
      <c r="V17" s="1386" t="s">
        <v>5</v>
      </c>
      <c r="W17" s="1387">
        <f t="shared" si="2"/>
        <v>100</v>
      </c>
      <c r="X17" s="1380"/>
      <c r="Y17" s="3902"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03"/>
      <c r="Q18" s="1385"/>
      <c r="R18" s="1386"/>
      <c r="S18" s="1387"/>
      <c r="T18" s="1386"/>
      <c r="U18" s="1387"/>
      <c r="V18" s="1386"/>
      <c r="W18" s="1387"/>
      <c r="X18" s="1380"/>
      <c r="Y18" s="3903"/>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03"/>
      <c r="Q19" s="1385" t="str">
        <f>B19</f>
        <v>商业繁华度</v>
      </c>
      <c r="R19" s="1386" t="s">
        <v>5</v>
      </c>
      <c r="S19" s="1387">
        <f>F19</f>
        <v>100</v>
      </c>
      <c r="T19" s="1386" t="s">
        <v>5</v>
      </c>
      <c r="U19" s="1387">
        <f>H19</f>
        <v>100</v>
      </c>
      <c r="V19" s="1386" t="s">
        <v>5</v>
      </c>
      <c r="W19" s="1387">
        <f>J19</f>
        <v>100</v>
      </c>
      <c r="X19" s="1380"/>
      <c r="Y19" s="3903"/>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03"/>
      <c r="Q20" s="1385"/>
      <c r="R20" s="1386"/>
      <c r="S20" s="1387"/>
      <c r="T20" s="1386"/>
      <c r="U20" s="1387"/>
      <c r="V20" s="1386"/>
      <c r="W20" s="1387"/>
      <c r="X20" s="1380"/>
      <c r="Y20" s="3903"/>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03"/>
      <c r="Q21" s="1385" t="str">
        <f>B21</f>
        <v>办公集聚程度</v>
      </c>
      <c r="R21" s="1386" t="s">
        <v>5</v>
      </c>
      <c r="S21" s="1387">
        <f>F21</f>
        <v>100</v>
      </c>
      <c r="T21" s="1386" t="s">
        <v>5</v>
      </c>
      <c r="U21" s="1387">
        <f>H21</f>
        <v>100</v>
      </c>
      <c r="V21" s="1386" t="s">
        <v>5</v>
      </c>
      <c r="W21" s="1387">
        <f>J21</f>
        <v>100</v>
      </c>
      <c r="X21" s="1380"/>
      <c r="Y21" s="3903"/>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03"/>
      <c r="Q22" s="1385"/>
      <c r="R22" s="1386"/>
      <c r="S22" s="1387"/>
      <c r="T22" s="1386"/>
      <c r="U22" s="1387"/>
      <c r="V22" s="1386"/>
      <c r="W22" s="1387"/>
      <c r="X22" s="1380"/>
      <c r="Y22" s="3903"/>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03"/>
      <c r="Q23" s="1385" t="str">
        <f>B23</f>
        <v>交通便捷度</v>
      </c>
      <c r="R23" s="1386" t="s">
        <v>5</v>
      </c>
      <c r="S23" s="1387">
        <f>F23</f>
        <v>100</v>
      </c>
      <c r="T23" s="1386" t="s">
        <v>5</v>
      </c>
      <c r="U23" s="1387">
        <f>H23</f>
        <v>100</v>
      </c>
      <c r="V23" s="1386" t="s">
        <v>5</v>
      </c>
      <c r="W23" s="1387">
        <f>J23</f>
        <v>100</v>
      </c>
      <c r="X23" s="1380"/>
      <c r="Y23" s="3903"/>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03"/>
      <c r="Q24" s="1385"/>
      <c r="R24" s="1386"/>
      <c r="S24" s="1387"/>
      <c r="T24" s="1386"/>
      <c r="U24" s="1387"/>
      <c r="V24" s="1386"/>
      <c r="W24" s="1387"/>
      <c r="X24" s="1380"/>
      <c r="Y24" s="3903"/>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03"/>
      <c r="Q25" s="1385" t="str">
        <f t="shared" ref="Q25:Q39" si="8">B25</f>
        <v>区域土地利用方向</v>
      </c>
      <c r="R25" s="1386" t="s">
        <v>5</v>
      </c>
      <c r="S25" s="1387">
        <f>F25</f>
        <v>100</v>
      </c>
      <c r="T25" s="1386" t="s">
        <v>5</v>
      </c>
      <c r="U25" s="1387">
        <f>H25</f>
        <v>100</v>
      </c>
      <c r="V25" s="1386" t="s">
        <v>5</v>
      </c>
      <c r="W25" s="1387">
        <f>J25</f>
        <v>100</v>
      </c>
      <c r="X25" s="1380"/>
      <c r="Y25" s="3903"/>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03"/>
      <c r="Q26" s="1385"/>
      <c r="R26" s="1386"/>
      <c r="S26" s="1387"/>
      <c r="T26" s="1386"/>
      <c r="U26" s="1387"/>
      <c r="V26" s="1386"/>
      <c r="W26" s="1387"/>
      <c r="X26" s="1380"/>
      <c r="Y26" s="3903"/>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03"/>
      <c r="Q27" s="1385" t="str">
        <f t="shared" si="8"/>
        <v>自然及人文环境状况</v>
      </c>
      <c r="R27" s="1386" t="s">
        <v>5</v>
      </c>
      <c r="S27" s="1387">
        <f>F27</f>
        <v>100</v>
      </c>
      <c r="T27" s="1386" t="s">
        <v>5</v>
      </c>
      <c r="U27" s="1387">
        <f>H27</f>
        <v>100</v>
      </c>
      <c r="V27" s="1386" t="s">
        <v>5</v>
      </c>
      <c r="W27" s="1387">
        <f>J27</f>
        <v>100</v>
      </c>
      <c r="X27" s="1380"/>
      <c r="Y27" s="3903"/>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03"/>
      <c r="Q28" s="1385"/>
      <c r="R28" s="1386"/>
      <c r="S28" s="1387"/>
      <c r="T28" s="1386"/>
      <c r="U28" s="1387"/>
      <c r="V28" s="1386"/>
      <c r="W28" s="1387"/>
      <c r="X28" s="1380"/>
      <c r="Y28" s="3903"/>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03"/>
      <c r="Q29" s="1050" t="str">
        <f t="shared" si="8"/>
        <v>公共配套设施</v>
      </c>
      <c r="R29" s="1381" t="s">
        <v>5</v>
      </c>
      <c r="S29" s="1382">
        <f>F29</f>
        <v>100</v>
      </c>
      <c r="T29" s="1381" t="s">
        <v>5</v>
      </c>
      <c r="U29" s="1382">
        <f>H29</f>
        <v>100</v>
      </c>
      <c r="V29" s="1381" t="s">
        <v>5</v>
      </c>
      <c r="W29" s="1382">
        <f>J29</f>
        <v>100</v>
      </c>
      <c r="X29" s="1383"/>
      <c r="Y29" s="3903"/>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03"/>
      <c r="Q30" s="1050"/>
      <c r="R30" s="1381"/>
      <c r="S30" s="1382"/>
      <c r="T30" s="1381"/>
      <c r="U30" s="1382"/>
      <c r="V30" s="1381"/>
      <c r="W30" s="1382"/>
      <c r="X30" s="1383"/>
      <c r="Y30" s="3903"/>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03"/>
      <c r="Q31" s="2192" t="str">
        <f>B31</f>
        <v>基础设施水平</v>
      </c>
      <c r="R31" s="1381" t="s">
        <v>5</v>
      </c>
      <c r="S31" s="1382">
        <f>F31</f>
        <v>100</v>
      </c>
      <c r="T31" s="1381" t="s">
        <v>5</v>
      </c>
      <c r="U31" s="1382">
        <f>H31</f>
        <v>100</v>
      </c>
      <c r="V31" s="1381" t="s">
        <v>5</v>
      </c>
      <c r="W31" s="1382">
        <f>J31</f>
        <v>100</v>
      </c>
      <c r="X31" s="1383"/>
      <c r="Y31" s="3903"/>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03"/>
      <c r="Q32" s="2192"/>
      <c r="R32" s="1381"/>
      <c r="S32" s="1382"/>
      <c r="T32" s="1381"/>
      <c r="U32" s="1382"/>
      <c r="V32" s="1381"/>
      <c r="W32" s="1382"/>
      <c r="X32" s="1383"/>
      <c r="Y32" s="3903"/>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0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03"/>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03"/>
      <c r="Q34" s="1385" t="str">
        <f t="shared" si="8"/>
        <v>毗邻道路的类型与等级</v>
      </c>
      <c r="R34" s="1386" t="s">
        <v>5</v>
      </c>
      <c r="S34" s="1387">
        <f t="shared" si="9"/>
        <v>100</v>
      </c>
      <c r="T34" s="1386" t="s">
        <v>5</v>
      </c>
      <c r="U34" s="1387">
        <f t="shared" si="10"/>
        <v>100</v>
      </c>
      <c r="V34" s="1386" t="s">
        <v>5</v>
      </c>
      <c r="W34" s="1387">
        <f t="shared" si="11"/>
        <v>100</v>
      </c>
      <c r="X34" s="1380"/>
      <c r="Y34" s="3903"/>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03"/>
      <c r="Q35" s="1385"/>
      <c r="R35" s="1386"/>
      <c r="S35" s="1387"/>
      <c r="T35" s="1386"/>
      <c r="U35" s="1387"/>
      <c r="V35" s="1386"/>
      <c r="W35" s="1387"/>
      <c r="X35" s="1380"/>
      <c r="Y35" s="3903"/>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03"/>
      <c r="Q36" s="1385" t="str">
        <f t="shared" si="8"/>
        <v>土地级别</v>
      </c>
      <c r="R36" s="1386" t="s">
        <v>5</v>
      </c>
      <c r="S36" s="1387">
        <f t="shared" si="9"/>
        <v>100</v>
      </c>
      <c r="T36" s="1386" t="s">
        <v>5</v>
      </c>
      <c r="U36" s="1387">
        <f t="shared" si="10"/>
        <v>100</v>
      </c>
      <c r="V36" s="1386" t="s">
        <v>5</v>
      </c>
      <c r="W36" s="1387">
        <f t="shared" si="11"/>
        <v>100</v>
      </c>
      <c r="X36" s="1380"/>
      <c r="Y36" s="3903"/>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03"/>
      <c r="Q37" s="1385">
        <f t="shared" si="8"/>
        <v>111</v>
      </c>
      <c r="R37" s="1386" t="s">
        <v>5</v>
      </c>
      <c r="S37" s="1387">
        <f t="shared" si="9"/>
        <v>100</v>
      </c>
      <c r="T37" s="1386" t="s">
        <v>5</v>
      </c>
      <c r="U37" s="1387">
        <f t="shared" si="10"/>
        <v>100</v>
      </c>
      <c r="V37" s="1386" t="s">
        <v>5</v>
      </c>
      <c r="W37" s="1387">
        <f t="shared" si="11"/>
        <v>100</v>
      </c>
      <c r="X37" s="1380"/>
      <c r="Y37" s="3903"/>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04" t="s">
        <v>499</v>
      </c>
      <c r="Q38" s="1385">
        <f t="shared" si="8"/>
        <v>111</v>
      </c>
      <c r="R38" s="1386" t="s">
        <v>5</v>
      </c>
      <c r="S38" s="1387">
        <f t="shared" si="9"/>
        <v>100</v>
      </c>
      <c r="T38" s="1386" t="s">
        <v>5</v>
      </c>
      <c r="U38" s="1387">
        <f t="shared" si="10"/>
        <v>100</v>
      </c>
      <c r="V38" s="1386" t="s">
        <v>5</v>
      </c>
      <c r="W38" s="1387">
        <f t="shared" si="11"/>
        <v>100</v>
      </c>
      <c r="X38" s="1380"/>
      <c r="Y38" s="3905"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05"/>
      <c r="Q39" s="1385">
        <f t="shared" si="8"/>
        <v>111</v>
      </c>
      <c r="R39" s="1390" t="s">
        <v>5</v>
      </c>
      <c r="S39" s="1391">
        <f t="shared" si="9"/>
        <v>100</v>
      </c>
      <c r="T39" s="1390" t="s">
        <v>5</v>
      </c>
      <c r="U39" s="1391">
        <f t="shared" si="10"/>
        <v>100</v>
      </c>
      <c r="V39" s="1390" t="s">
        <v>5</v>
      </c>
      <c r="W39" s="1391">
        <f t="shared" si="11"/>
        <v>100</v>
      </c>
      <c r="X39" s="1392"/>
      <c r="Y39" s="3905"/>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05"/>
      <c r="Q40" s="1385" t="str">
        <f>B40</f>
        <v>宗地面积</v>
      </c>
      <c r="R40" s="1386" t="s">
        <v>5</v>
      </c>
      <c r="S40" s="1387" t="e">
        <f t="shared" si="9"/>
        <v>#N/A</v>
      </c>
      <c r="T40" s="1386" t="s">
        <v>5</v>
      </c>
      <c r="U40" s="1387" t="e">
        <f t="shared" si="10"/>
        <v>#N/A</v>
      </c>
      <c r="V40" s="1386" t="s">
        <v>5</v>
      </c>
      <c r="W40" s="1387" t="e">
        <f t="shared" si="11"/>
        <v>#N/A</v>
      </c>
      <c r="X40" s="1380"/>
      <c r="Y40" s="3905"/>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05"/>
      <c r="Q41" s="1385" t="str">
        <f t="shared" ref="Q41:Q47" si="13">B41</f>
        <v>宗地形状</v>
      </c>
      <c r="R41" s="1386" t="s">
        <v>5</v>
      </c>
      <c r="S41" s="1387">
        <f t="shared" si="9"/>
        <v>100</v>
      </c>
      <c r="T41" s="1386" t="s">
        <v>5</v>
      </c>
      <c r="U41" s="1387">
        <f t="shared" si="10"/>
        <v>100</v>
      </c>
      <c r="V41" s="1386" t="s">
        <v>5</v>
      </c>
      <c r="W41" s="1387">
        <f t="shared" si="11"/>
        <v>100</v>
      </c>
      <c r="X41" s="1380"/>
      <c r="Y41" s="3905"/>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05"/>
      <c r="Q42" s="1385" t="str">
        <f t="shared" si="13"/>
        <v>临街宽度及深度</v>
      </c>
      <c r="R42" s="1386" t="s">
        <v>5</v>
      </c>
      <c r="S42" s="1387">
        <f t="shared" si="9"/>
        <v>100</v>
      </c>
      <c r="T42" s="1386" t="s">
        <v>5</v>
      </c>
      <c r="U42" s="1387">
        <f t="shared" si="10"/>
        <v>100</v>
      </c>
      <c r="V42" s="1386" t="s">
        <v>5</v>
      </c>
      <c r="W42" s="1387">
        <f t="shared" si="11"/>
        <v>100</v>
      </c>
      <c r="X42" s="1380"/>
      <c r="Y42" s="3905"/>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05"/>
      <c r="Q43" s="1385" t="str">
        <f t="shared" si="13"/>
        <v>宗地开发程度</v>
      </c>
      <c r="R43" s="1381" t="s">
        <v>5</v>
      </c>
      <c r="S43" s="1382">
        <f t="shared" si="9"/>
        <v>100</v>
      </c>
      <c r="T43" s="1381" t="s">
        <v>5</v>
      </c>
      <c r="U43" s="1382">
        <f t="shared" si="10"/>
        <v>100</v>
      </c>
      <c r="V43" s="1381" t="s">
        <v>5</v>
      </c>
      <c r="W43" s="1382">
        <f t="shared" si="11"/>
        <v>100</v>
      </c>
      <c r="X43" s="1383"/>
      <c r="Y43" s="3905"/>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05" t="s">
        <v>499</v>
      </c>
      <c r="Q44" s="1385" t="str">
        <f t="shared" si="13"/>
        <v>工程地质条件</v>
      </c>
      <c r="R44" s="1386" t="s">
        <v>5</v>
      </c>
      <c r="S44" s="1387">
        <f t="shared" si="9"/>
        <v>100</v>
      </c>
      <c r="T44" s="1386" t="s">
        <v>5</v>
      </c>
      <c r="U44" s="1387">
        <f t="shared" si="10"/>
        <v>100</v>
      </c>
      <c r="V44" s="1386" t="s">
        <v>5</v>
      </c>
      <c r="W44" s="1387">
        <f t="shared" si="11"/>
        <v>100</v>
      </c>
      <c r="X44" s="1380"/>
      <c r="Y44" s="3905"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05"/>
      <c r="Q45" s="1385">
        <f t="shared" si="13"/>
        <v>111</v>
      </c>
      <c r="R45" s="1386" t="s">
        <v>5</v>
      </c>
      <c r="S45" s="1387">
        <f t="shared" si="9"/>
        <v>100</v>
      </c>
      <c r="T45" s="1386" t="s">
        <v>5</v>
      </c>
      <c r="U45" s="1387">
        <f t="shared" si="10"/>
        <v>100</v>
      </c>
      <c r="V45" s="1386" t="s">
        <v>5</v>
      </c>
      <c r="W45" s="1387">
        <f t="shared" si="11"/>
        <v>100</v>
      </c>
      <c r="X45" s="1380"/>
      <c r="Y45" s="3905"/>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05"/>
      <c r="Q46" s="1385">
        <f t="shared" si="13"/>
        <v>111</v>
      </c>
      <c r="R46" s="1386" t="s">
        <v>5</v>
      </c>
      <c r="S46" s="1387">
        <f t="shared" si="9"/>
        <v>100</v>
      </c>
      <c r="T46" s="1386" t="s">
        <v>5</v>
      </c>
      <c r="U46" s="1387">
        <f t="shared" si="10"/>
        <v>100</v>
      </c>
      <c r="V46" s="1386" t="s">
        <v>5</v>
      </c>
      <c r="W46" s="1387">
        <f t="shared" si="11"/>
        <v>100</v>
      </c>
      <c r="X46" s="1380"/>
      <c r="Y46" s="3905"/>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05"/>
      <c r="Q47" s="1385">
        <f t="shared" si="13"/>
        <v>111</v>
      </c>
      <c r="R47" s="1390" t="s">
        <v>5</v>
      </c>
      <c r="S47" s="1391">
        <f t="shared" si="9"/>
        <v>100</v>
      </c>
      <c r="T47" s="1390" t="s">
        <v>5</v>
      </c>
      <c r="U47" s="1391">
        <f t="shared" si="10"/>
        <v>100</v>
      </c>
      <c r="V47" s="1390" t="s">
        <v>5</v>
      </c>
      <c r="W47" s="1391">
        <f t="shared" si="11"/>
        <v>100</v>
      </c>
      <c r="X47" s="1392"/>
      <c r="Y47" s="3905"/>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900" t="str">
        <f>A48</f>
        <v>成交单价</v>
      </c>
      <c r="Q48" s="3900"/>
      <c r="R48" s="3916">
        <f>E48</f>
        <v>0</v>
      </c>
      <c r="S48" s="3916"/>
      <c r="T48" s="3916">
        <f>G48</f>
        <v>0</v>
      </c>
      <c r="U48" s="3916"/>
      <c r="V48" s="3916">
        <f>I48</f>
        <v>0</v>
      </c>
      <c r="W48" s="3916"/>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00" t="str">
        <f>A49</f>
        <v>比较价格（元/平方米）</v>
      </c>
      <c r="Q49" s="3900"/>
      <c r="R49" s="3924" t="e">
        <f>ROUND(PRODUCT(R48,AA9:AA47),0)</f>
        <v>#DIV/0!</v>
      </c>
      <c r="S49" s="3924"/>
      <c r="T49" s="3924" t="e">
        <f>ROUND(PRODUCT(T48,AB9:AB47),0)</f>
        <v>#DIV/0!</v>
      </c>
      <c r="U49" s="3924"/>
      <c r="V49" s="3924" t="e">
        <f>ROUND(PRODUCT(V48,AC9:AC47),0)</f>
        <v>#DIV/0!</v>
      </c>
      <c r="W49" s="3924"/>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906" t="str">
        <f>A50</f>
        <v>估价对象XX用房的比较价格（楼面单价，元/平方米）</v>
      </c>
      <c r="Q50" s="3907"/>
      <c r="R50" s="3923" t="e">
        <f>ROUND(IF(D49="简单平均",AVERAGE(R49:W49),R49*F49+T49*H49+V49*J49),0)</f>
        <v>#DIV/0!</v>
      </c>
      <c r="S50" s="3923"/>
      <c r="T50" s="3923"/>
      <c r="U50" s="3923"/>
      <c r="V50" s="3923"/>
      <c r="W50" s="3923"/>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5" t="s">
        <v>1639</v>
      </c>
      <c r="H57" s="3886"/>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371200</v>
      </c>
      <c r="F58" s="604" t="e">
        <f t="shared" ref="F58:F66" si="14">ROUND(B58*E58/10000,0)</f>
        <v>#DIV/0!</v>
      </c>
      <c r="G58" s="3887"/>
      <c r="H58" s="3888"/>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0.5</v>
      </c>
      <c r="D59" s="1948">
        <v>0.25</v>
      </c>
      <c r="E59" s="607">
        <v>0</v>
      </c>
      <c r="F59" s="604" t="e">
        <f t="shared" si="14"/>
        <v>#DIV/0!</v>
      </c>
      <c r="G59" s="3277" t="s">
        <v>1640</v>
      </c>
      <c r="H59" s="1704" t="str">
        <f>项目基本情况!B43</f>
        <v>十级</v>
      </c>
      <c r="I59" s="1373">
        <f>SUMIF(修正!$A$57:$A$68,H59,修正!B57:B68)</f>
        <v>0.5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0.2</v>
      </c>
      <c r="D60" s="1948">
        <v>0.25</v>
      </c>
      <c r="E60" s="607">
        <v>0</v>
      </c>
      <c r="F60" s="604" t="e">
        <f t="shared" si="14"/>
        <v>#DIV/0!</v>
      </c>
      <c r="G60" s="3278"/>
      <c r="H60" s="1704" t="str">
        <f>项目基本情况!B43</f>
        <v>十级</v>
      </c>
      <c r="I60" s="1373">
        <f>SUMIF(修正!$A$57:$A$68,H60,修正!C57:C68)</f>
        <v>0.2</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v>
      </c>
      <c r="D61" s="1948">
        <v>0.25</v>
      </c>
      <c r="E61" s="607">
        <v>0</v>
      </c>
      <c r="F61" s="604" t="e">
        <f t="shared" si="14"/>
        <v>#DIV/0!</v>
      </c>
      <c r="G61" s="3278"/>
      <c r="H61" s="1704" t="str">
        <f>项目基本情况!B43</f>
        <v>十级</v>
      </c>
      <c r="I61" s="1373">
        <f>SUMIF(修正!$A$57:$A$68,H61,修正!D57:D68)</f>
        <v>0.2</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0.1</v>
      </c>
      <c r="D64" s="1948">
        <v>0.25</v>
      </c>
      <c r="E64" s="609">
        <f>'数据-汇总表'!E13</f>
        <v>0</v>
      </c>
      <c r="F64" s="604" t="e">
        <f t="shared" si="14"/>
        <v>#DIV/0!</v>
      </c>
      <c r="G64" s="1702" t="s">
        <v>851</v>
      </c>
      <c r="H64" s="1700" t="str">
        <f>IF(G64="商业",项目基本情况!B43,IF(G64="办公",项目基本情况!C43,IF(G64="住宅",项目基本情况!D43,项目基本情况!E43)))</f>
        <v>九级</v>
      </c>
      <c r="I64" s="1373">
        <f>SUMIF(修正!$A$57:$A$68,H64,修正!G57:G68)</f>
        <v>0.1</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v>
      </c>
      <c r="D65" s="1948">
        <v>0.25</v>
      </c>
      <c r="E65" s="609">
        <f>'数据-汇总表'!E14</f>
        <v>0</v>
      </c>
      <c r="F65" s="604" t="e">
        <f t="shared" si="14"/>
        <v>#DIV/0!</v>
      </c>
      <c r="G65" s="1701" t="s">
        <v>1640</v>
      </c>
      <c r="H65" s="1704" t="str">
        <f>项目基本情况!B43</f>
        <v>十级</v>
      </c>
      <c r="I65" s="1373">
        <f>SUMIF(修正!$A$57:$A$68,H65,修正!G57:G68)</f>
        <v>0.1</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185600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"北京市平均增长率"&amp;TEXT(SUMIF('基准地价-住宅'!N25:N29,A72,'基准地价-住宅'!P25:P29),"0.00%")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908" t="s">
        <v>471</v>
      </c>
      <c r="D6" s="3909"/>
      <c r="E6" s="3930" t="s">
        <v>472</v>
      </c>
      <c r="F6" s="3931"/>
      <c r="G6" s="3908" t="s">
        <v>473</v>
      </c>
      <c r="H6" s="3909"/>
      <c r="I6" s="3908" t="s">
        <v>474</v>
      </c>
      <c r="J6" s="3909"/>
      <c r="K6" s="484" t="s">
        <v>475</v>
      </c>
      <c r="L6" s="1856"/>
      <c r="M6" s="1857"/>
      <c r="N6" s="1857"/>
      <c r="O6" s="1857"/>
      <c r="P6" s="3910" t="s">
        <v>476</v>
      </c>
      <c r="Q6" s="3911"/>
      <c r="R6" s="3894" t="s">
        <v>472</v>
      </c>
      <c r="S6" s="3895"/>
      <c r="T6" s="3894" t="s">
        <v>473</v>
      </c>
      <c r="U6" s="3895"/>
      <c r="V6" s="3916" t="s">
        <v>474</v>
      </c>
      <c r="W6" s="3916"/>
      <c r="X6" s="1380"/>
      <c r="Y6" s="3894" t="s">
        <v>476</v>
      </c>
      <c r="Z6" s="3895"/>
      <c r="AA6" s="3889" t="s">
        <v>472</v>
      </c>
      <c r="AB6" s="3890" t="s">
        <v>473</v>
      </c>
      <c r="AC6" s="3889" t="s">
        <v>474</v>
      </c>
    </row>
    <row r="7" spans="1:29" ht="15">
      <c r="A7" s="485"/>
      <c r="B7" s="486"/>
      <c r="C7" s="3919" t="s">
        <v>2192</v>
      </c>
      <c r="D7" s="3920"/>
      <c r="E7" s="3932" t="s">
        <v>2193</v>
      </c>
      <c r="F7" s="3933"/>
      <c r="G7" s="3919" t="s">
        <v>2194</v>
      </c>
      <c r="H7" s="3920"/>
      <c r="I7" s="3919" t="s">
        <v>2195</v>
      </c>
      <c r="J7" s="3920"/>
      <c r="K7" s="484"/>
      <c r="L7" s="1856"/>
      <c r="M7" s="1857"/>
      <c r="N7" s="1857"/>
      <c r="O7" s="1857"/>
      <c r="P7" s="3912"/>
      <c r="Q7" s="3913"/>
      <c r="R7" s="3896"/>
      <c r="S7" s="3897"/>
      <c r="T7" s="3896"/>
      <c r="U7" s="3897"/>
      <c r="V7" s="3916"/>
      <c r="W7" s="3916"/>
      <c r="X7" s="1380"/>
      <c r="Y7" s="3896"/>
      <c r="Z7" s="3897"/>
      <c r="AA7" s="3890"/>
      <c r="AB7" s="3890"/>
      <c r="AC7" s="3890"/>
    </row>
    <row r="8" spans="1:29" ht="15.75" thickBot="1">
      <c r="A8" s="487"/>
      <c r="B8" s="488"/>
      <c r="C8" s="3917" t="s">
        <v>2196</v>
      </c>
      <c r="D8" s="3918"/>
      <c r="E8" s="3934" t="s">
        <v>2196</v>
      </c>
      <c r="F8" s="3935"/>
      <c r="G8" s="3917" t="s">
        <v>2196</v>
      </c>
      <c r="H8" s="3918"/>
      <c r="I8" s="3917" t="s">
        <v>2196</v>
      </c>
      <c r="J8" s="3918"/>
      <c r="K8" s="484" t="s">
        <v>477</v>
      </c>
      <c r="L8" s="1856"/>
      <c r="M8" s="1857"/>
      <c r="N8" s="1857"/>
      <c r="O8" s="1857"/>
      <c r="P8" s="3914"/>
      <c r="Q8" s="3915"/>
      <c r="R8" s="3896"/>
      <c r="S8" s="3897"/>
      <c r="T8" s="3898"/>
      <c r="U8" s="3899"/>
      <c r="V8" s="3916"/>
      <c r="W8" s="3916"/>
      <c r="X8" s="1380"/>
      <c r="Y8" s="3898"/>
      <c r="Z8" s="3899"/>
      <c r="AA8" s="3891"/>
      <c r="AB8" s="3891"/>
      <c r="AC8" s="3891"/>
    </row>
    <row r="9" spans="1:29" s="1118" customFormat="1" ht="15.75" thickBot="1">
      <c r="A9" s="2392"/>
      <c r="B9" s="2399" t="s">
        <v>478</v>
      </c>
      <c r="C9" s="489">
        <f>'数据-取费表'!B2</f>
        <v>44994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92" t="s">
        <v>479</v>
      </c>
      <c r="Q9" s="3901"/>
      <c r="R9" s="1381" t="s">
        <v>5</v>
      </c>
      <c r="S9" s="1382">
        <f t="shared" ref="S9:S17" si="0">F9</f>
        <v>0</v>
      </c>
      <c r="T9" s="1381" t="s">
        <v>5</v>
      </c>
      <c r="U9" s="1382">
        <f t="shared" ref="U9:U17" si="1">H9</f>
        <v>0</v>
      </c>
      <c r="V9" s="1381" t="s">
        <v>5</v>
      </c>
      <c r="W9" s="1382">
        <f t="shared" ref="W9:W17" si="2">J9</f>
        <v>0</v>
      </c>
      <c r="X9" s="1383"/>
      <c r="Y9" s="3892" t="s">
        <v>479</v>
      </c>
      <c r="Z9" s="3893"/>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92" t="s">
        <v>482</v>
      </c>
      <c r="Q10" s="3893"/>
      <c r="R10" s="1381" t="s">
        <v>5</v>
      </c>
      <c r="S10" s="1382">
        <f t="shared" si="0"/>
        <v>0</v>
      </c>
      <c r="T10" s="1381" t="s">
        <v>5</v>
      </c>
      <c r="U10" s="1382">
        <f t="shared" si="1"/>
        <v>0</v>
      </c>
      <c r="V10" s="1381" t="s">
        <v>5</v>
      </c>
      <c r="W10" s="1382">
        <f t="shared" si="2"/>
        <v>0</v>
      </c>
      <c r="X10" s="1383"/>
      <c r="Y10" s="3892" t="s">
        <v>482</v>
      </c>
      <c r="Z10" s="3893"/>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00" t="s">
        <v>484</v>
      </c>
      <c r="Q11" s="1050" t="str">
        <f t="shared" ref="Q11:Q17" si="6">B11</f>
        <v>用途</v>
      </c>
      <c r="R11" s="1381" t="s">
        <v>5</v>
      </c>
      <c r="S11" s="1382">
        <f t="shared" si="0"/>
        <v>100</v>
      </c>
      <c r="T11" s="1381" t="s">
        <v>5</v>
      </c>
      <c r="U11" s="1382">
        <f t="shared" si="1"/>
        <v>100</v>
      </c>
      <c r="V11" s="1381" t="s">
        <v>5</v>
      </c>
      <c r="W11" s="1382">
        <f t="shared" si="2"/>
        <v>100</v>
      </c>
      <c r="X11" s="1383"/>
      <c r="Y11" s="3833"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00"/>
      <c r="Q12" s="1050" t="str">
        <f t="shared" si="6"/>
        <v>土地使用年限（年）</v>
      </c>
      <c r="R12" s="1381" t="s">
        <v>5</v>
      </c>
      <c r="S12" s="1382">
        <f t="shared" si="0"/>
        <v>100</v>
      </c>
      <c r="T12" s="1381" t="s">
        <v>5</v>
      </c>
      <c r="U12" s="1382">
        <f t="shared" si="1"/>
        <v>100</v>
      </c>
      <c r="V12" s="1381" t="s">
        <v>5</v>
      </c>
      <c r="W12" s="1382">
        <f t="shared" si="2"/>
        <v>100</v>
      </c>
      <c r="X12" s="1383"/>
      <c r="Y12" s="3833"/>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00"/>
      <c r="Q13" s="1050" t="str">
        <f t="shared" si="6"/>
        <v>容积率</v>
      </c>
      <c r="R13" s="1381" t="s">
        <v>5</v>
      </c>
      <c r="S13" s="1382" t="e">
        <f t="shared" si="0"/>
        <v>#N/A</v>
      </c>
      <c r="T13" s="1381" t="s">
        <v>5</v>
      </c>
      <c r="U13" s="1382" t="e">
        <f t="shared" si="1"/>
        <v>#N/A</v>
      </c>
      <c r="V13" s="1381" t="s">
        <v>5</v>
      </c>
      <c r="W13" s="1382" t="e">
        <f t="shared" si="2"/>
        <v>#N/A</v>
      </c>
      <c r="X13" s="1383"/>
      <c r="Y13" s="3833"/>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0"/>
      <c r="Q15" s="1050">
        <f t="shared" si="6"/>
        <v>111</v>
      </c>
      <c r="R15" s="1381" t="s">
        <v>5</v>
      </c>
      <c r="S15" s="1382">
        <f t="shared" si="0"/>
        <v>100</v>
      </c>
      <c r="T15" s="1381" t="s">
        <v>5</v>
      </c>
      <c r="U15" s="1382">
        <f t="shared" si="1"/>
        <v>100</v>
      </c>
      <c r="V15" s="1381" t="s">
        <v>5</v>
      </c>
      <c r="W15" s="1382">
        <f t="shared" si="2"/>
        <v>100</v>
      </c>
      <c r="X15" s="1383"/>
      <c r="Y15" s="3833"/>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0"/>
      <c r="Q16" s="1050">
        <f t="shared" si="6"/>
        <v>111</v>
      </c>
      <c r="R16" s="1381" t="s">
        <v>5</v>
      </c>
      <c r="S16" s="1382">
        <f t="shared" si="0"/>
        <v>100</v>
      </c>
      <c r="T16" s="1381" t="s">
        <v>5</v>
      </c>
      <c r="U16" s="1382">
        <f t="shared" si="1"/>
        <v>100</v>
      </c>
      <c r="V16" s="1381" t="s">
        <v>5</v>
      </c>
      <c r="W16" s="1382">
        <f t="shared" si="2"/>
        <v>100</v>
      </c>
      <c r="X16" s="1383"/>
      <c r="Y16" s="3833"/>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02" t="s">
        <v>489</v>
      </c>
      <c r="Q17" s="1385" t="str">
        <f t="shared" si="6"/>
        <v>产业集聚程度</v>
      </c>
      <c r="R17" s="1386" t="s">
        <v>5</v>
      </c>
      <c r="S17" s="1387">
        <f t="shared" si="0"/>
        <v>100</v>
      </c>
      <c r="T17" s="1386" t="s">
        <v>5</v>
      </c>
      <c r="U17" s="1387">
        <f t="shared" si="1"/>
        <v>100</v>
      </c>
      <c r="V17" s="1386" t="s">
        <v>5</v>
      </c>
      <c r="W17" s="1387">
        <f t="shared" si="2"/>
        <v>100</v>
      </c>
      <c r="X17" s="1380"/>
      <c r="Y17" s="3902"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03"/>
      <c r="Q18" s="1385"/>
      <c r="R18" s="1386"/>
      <c r="S18" s="1387"/>
      <c r="T18" s="1386"/>
      <c r="U18" s="1387"/>
      <c r="V18" s="1386"/>
      <c r="W18" s="1387"/>
      <c r="X18" s="1380"/>
      <c r="Y18" s="3903"/>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03"/>
      <c r="Q19" s="1385" t="str">
        <f>B19</f>
        <v>交通便捷度</v>
      </c>
      <c r="R19" s="1386" t="s">
        <v>5</v>
      </c>
      <c r="S19" s="1387">
        <f>F19</f>
        <v>100</v>
      </c>
      <c r="T19" s="1386" t="s">
        <v>5</v>
      </c>
      <c r="U19" s="1387">
        <f>H19</f>
        <v>100</v>
      </c>
      <c r="V19" s="1386" t="s">
        <v>5</v>
      </c>
      <c r="W19" s="1387">
        <f>J19</f>
        <v>100</v>
      </c>
      <c r="X19" s="1380"/>
      <c r="Y19" s="3903"/>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03"/>
      <c r="Q21" s="1385" t="str">
        <f t="shared" ref="Q21:Q35" si="8">B21</f>
        <v>区域土地利用方向</v>
      </c>
      <c r="R21" s="1386" t="s">
        <v>5</v>
      </c>
      <c r="S21" s="1387">
        <f>F21</f>
        <v>100</v>
      </c>
      <c r="T21" s="1386" t="s">
        <v>5</v>
      </c>
      <c r="U21" s="1387">
        <f>H21</f>
        <v>100</v>
      </c>
      <c r="V21" s="1386" t="s">
        <v>5</v>
      </c>
      <c r="W21" s="1387">
        <f>J21</f>
        <v>100</v>
      </c>
      <c r="X21" s="1380"/>
      <c r="Y21" s="390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03"/>
      <c r="Q22" s="1385"/>
      <c r="R22" s="1386"/>
      <c r="S22" s="1387"/>
      <c r="T22" s="1386"/>
      <c r="U22" s="1387"/>
      <c r="V22" s="1386"/>
      <c r="W22" s="1387"/>
      <c r="X22" s="1380"/>
      <c r="Y22" s="3903"/>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03"/>
      <c r="Q23" s="1385" t="str">
        <f t="shared" si="8"/>
        <v>环境状况</v>
      </c>
      <c r="R23" s="1386" t="s">
        <v>5</v>
      </c>
      <c r="S23" s="1387">
        <f>F23</f>
        <v>100</v>
      </c>
      <c r="T23" s="1386" t="s">
        <v>5</v>
      </c>
      <c r="U23" s="1387">
        <f>H23</f>
        <v>100</v>
      </c>
      <c r="V23" s="1386" t="s">
        <v>5</v>
      </c>
      <c r="W23" s="1387">
        <f>J23</f>
        <v>100</v>
      </c>
      <c r="X23" s="1380"/>
      <c r="Y23" s="390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03"/>
      <c r="Q24" s="1385"/>
      <c r="R24" s="1386"/>
      <c r="S24" s="1387"/>
      <c r="T24" s="1386"/>
      <c r="U24" s="1387"/>
      <c r="V24" s="1386"/>
      <c r="W24" s="1387"/>
      <c r="X24" s="1380"/>
      <c r="Y24" s="3903"/>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03"/>
      <c r="Q25" s="1050" t="str">
        <f t="shared" si="8"/>
        <v>公共配套设施</v>
      </c>
      <c r="R25" s="1381" t="s">
        <v>5</v>
      </c>
      <c r="S25" s="1382">
        <f>F25</f>
        <v>100</v>
      </c>
      <c r="T25" s="1381" t="s">
        <v>5</v>
      </c>
      <c r="U25" s="1382">
        <f>H25</f>
        <v>100</v>
      </c>
      <c r="V25" s="1381" t="s">
        <v>5</v>
      </c>
      <c r="W25" s="1382">
        <f>J25</f>
        <v>100</v>
      </c>
      <c r="X25" s="1383"/>
      <c r="Y25" s="3903"/>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03"/>
      <c r="Q26" s="1050"/>
      <c r="R26" s="1381"/>
      <c r="S26" s="1382"/>
      <c r="T26" s="1381"/>
      <c r="U26" s="1382"/>
      <c r="V26" s="1381"/>
      <c r="W26" s="1382"/>
      <c r="X26" s="1383"/>
      <c r="Y26" s="3903"/>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03"/>
      <c r="Q27" s="2192" t="str">
        <f>B27</f>
        <v>基础设施水平</v>
      </c>
      <c r="R27" s="1381" t="s">
        <v>5</v>
      </c>
      <c r="S27" s="1382">
        <f>F27</f>
        <v>100</v>
      </c>
      <c r="T27" s="1381" t="s">
        <v>5</v>
      </c>
      <c r="U27" s="1382">
        <f>H27</f>
        <v>100</v>
      </c>
      <c r="V27" s="1381" t="s">
        <v>5</v>
      </c>
      <c r="W27" s="1382">
        <f>J27</f>
        <v>100</v>
      </c>
      <c r="X27" s="1383"/>
      <c r="Y27" s="3903"/>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03"/>
      <c r="Q28" s="2192"/>
      <c r="R28" s="1381"/>
      <c r="S28" s="1382"/>
      <c r="T28" s="1381"/>
      <c r="U28" s="1382"/>
      <c r="V28" s="1381"/>
      <c r="W28" s="1382"/>
      <c r="X28" s="1383"/>
      <c r="Y28" s="3903"/>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0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03"/>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03"/>
      <c r="Q30" s="1385" t="str">
        <f t="shared" si="8"/>
        <v>毗邻道路的类型与等级</v>
      </c>
      <c r="R30" s="1386" t="s">
        <v>5</v>
      </c>
      <c r="S30" s="1387">
        <f t="shared" si="9"/>
        <v>100</v>
      </c>
      <c r="T30" s="1386" t="s">
        <v>5</v>
      </c>
      <c r="U30" s="1387">
        <f t="shared" si="10"/>
        <v>100</v>
      </c>
      <c r="V30" s="1386" t="s">
        <v>5</v>
      </c>
      <c r="W30" s="1387">
        <f t="shared" si="11"/>
        <v>100</v>
      </c>
      <c r="X30" s="1380"/>
      <c r="Y30" s="390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03"/>
      <c r="Q31" s="1385"/>
      <c r="R31" s="1386"/>
      <c r="S31" s="1387"/>
      <c r="T31" s="1386"/>
      <c r="U31" s="1387"/>
      <c r="V31" s="1386"/>
      <c r="W31" s="1387"/>
      <c r="X31" s="1380"/>
      <c r="Y31" s="3903"/>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03"/>
      <c r="Q32" s="1385" t="str">
        <f t="shared" si="8"/>
        <v>土地级别</v>
      </c>
      <c r="R32" s="1386" t="s">
        <v>5</v>
      </c>
      <c r="S32" s="1387">
        <f t="shared" si="9"/>
        <v>100</v>
      </c>
      <c r="T32" s="1386" t="s">
        <v>5</v>
      </c>
      <c r="U32" s="1387">
        <f t="shared" si="10"/>
        <v>100</v>
      </c>
      <c r="V32" s="1386" t="s">
        <v>5</v>
      </c>
      <c r="W32" s="1387">
        <f t="shared" si="11"/>
        <v>100</v>
      </c>
      <c r="X32" s="1380"/>
      <c r="Y32" s="390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03"/>
      <c r="Q33" s="1385">
        <f t="shared" si="8"/>
        <v>111</v>
      </c>
      <c r="R33" s="1386" t="s">
        <v>5</v>
      </c>
      <c r="S33" s="1387">
        <f t="shared" si="9"/>
        <v>100</v>
      </c>
      <c r="T33" s="1386" t="s">
        <v>5</v>
      </c>
      <c r="U33" s="1387">
        <f t="shared" si="10"/>
        <v>100</v>
      </c>
      <c r="V33" s="1386" t="s">
        <v>5</v>
      </c>
      <c r="W33" s="1387">
        <f t="shared" si="11"/>
        <v>100</v>
      </c>
      <c r="X33" s="1380"/>
      <c r="Y33" s="390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4" t="s">
        <v>499</v>
      </c>
      <c r="Q34" s="1385">
        <f t="shared" si="8"/>
        <v>111</v>
      </c>
      <c r="R34" s="1386" t="s">
        <v>5</v>
      </c>
      <c r="S34" s="1387">
        <f t="shared" si="9"/>
        <v>100</v>
      </c>
      <c r="T34" s="1386" t="s">
        <v>5</v>
      </c>
      <c r="U34" s="1387">
        <f t="shared" si="10"/>
        <v>100</v>
      </c>
      <c r="V34" s="1386" t="s">
        <v>5</v>
      </c>
      <c r="W34" s="1387">
        <f t="shared" si="11"/>
        <v>100</v>
      </c>
      <c r="X34" s="1380"/>
      <c r="Y34" s="3905"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5"/>
      <c r="Q35" s="1385">
        <f t="shared" si="8"/>
        <v>111</v>
      </c>
      <c r="R35" s="1390" t="s">
        <v>5</v>
      </c>
      <c r="S35" s="1391">
        <f t="shared" si="9"/>
        <v>100</v>
      </c>
      <c r="T35" s="1390" t="s">
        <v>5</v>
      </c>
      <c r="U35" s="1391">
        <f t="shared" si="10"/>
        <v>100</v>
      </c>
      <c r="V35" s="1390" t="s">
        <v>5</v>
      </c>
      <c r="W35" s="1391">
        <f t="shared" si="11"/>
        <v>100</v>
      </c>
      <c r="X35" s="1392"/>
      <c r="Y35" s="3905"/>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05"/>
      <c r="Q36" s="1385" t="str">
        <f>B36</f>
        <v>宗地面积</v>
      </c>
      <c r="R36" s="1386" t="s">
        <v>5</v>
      </c>
      <c r="S36" s="1387" t="e">
        <f t="shared" si="9"/>
        <v>#N/A</v>
      </c>
      <c r="T36" s="1386" t="s">
        <v>5</v>
      </c>
      <c r="U36" s="1387" t="e">
        <f t="shared" si="10"/>
        <v>#N/A</v>
      </c>
      <c r="V36" s="1386" t="s">
        <v>5</v>
      </c>
      <c r="W36" s="1387" t="e">
        <f t="shared" si="11"/>
        <v>#N/A</v>
      </c>
      <c r="X36" s="1380"/>
      <c r="Y36" s="3905"/>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05"/>
      <c r="Q37" s="1385" t="str">
        <f t="shared" ref="Q37:Q42" si="13">B37</f>
        <v>宗地形状</v>
      </c>
      <c r="R37" s="1386" t="s">
        <v>5</v>
      </c>
      <c r="S37" s="1387">
        <f t="shared" si="9"/>
        <v>100</v>
      </c>
      <c r="T37" s="1386" t="s">
        <v>5</v>
      </c>
      <c r="U37" s="1387">
        <f t="shared" si="10"/>
        <v>100</v>
      </c>
      <c r="V37" s="1386" t="s">
        <v>5</v>
      </c>
      <c r="W37" s="1387">
        <f t="shared" si="11"/>
        <v>100</v>
      </c>
      <c r="X37" s="1380"/>
      <c r="Y37" s="3905"/>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05"/>
      <c r="Q38" s="1385" t="str">
        <f t="shared" si="13"/>
        <v>宗地开发程度</v>
      </c>
      <c r="R38" s="1381" t="s">
        <v>5</v>
      </c>
      <c r="S38" s="1382">
        <f t="shared" si="9"/>
        <v>100</v>
      </c>
      <c r="T38" s="1381" t="s">
        <v>5</v>
      </c>
      <c r="U38" s="1382">
        <f t="shared" si="10"/>
        <v>100</v>
      </c>
      <c r="V38" s="1381" t="s">
        <v>5</v>
      </c>
      <c r="W38" s="1382">
        <f t="shared" si="11"/>
        <v>100</v>
      </c>
      <c r="X38" s="1383"/>
      <c r="Y38" s="390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5" t="s">
        <v>549</v>
      </c>
      <c r="Q39" s="1385" t="str">
        <f t="shared" si="13"/>
        <v>工程地质条件</v>
      </c>
      <c r="R39" s="1386" t="s">
        <v>5</v>
      </c>
      <c r="S39" s="1387">
        <f t="shared" si="9"/>
        <v>100</v>
      </c>
      <c r="T39" s="1386" t="s">
        <v>5</v>
      </c>
      <c r="U39" s="1387">
        <f t="shared" si="10"/>
        <v>100</v>
      </c>
      <c r="V39" s="1386" t="s">
        <v>5</v>
      </c>
      <c r="W39" s="1387">
        <f t="shared" si="11"/>
        <v>100</v>
      </c>
      <c r="X39" s="1380"/>
      <c r="Y39" s="390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5"/>
      <c r="Q40" s="1385">
        <f t="shared" si="13"/>
        <v>111</v>
      </c>
      <c r="R40" s="1386" t="s">
        <v>5</v>
      </c>
      <c r="S40" s="1387">
        <f t="shared" si="9"/>
        <v>100</v>
      </c>
      <c r="T40" s="1386" t="s">
        <v>5</v>
      </c>
      <c r="U40" s="1387">
        <f t="shared" si="10"/>
        <v>100</v>
      </c>
      <c r="V40" s="1386" t="s">
        <v>5</v>
      </c>
      <c r="W40" s="1387">
        <f t="shared" si="11"/>
        <v>100</v>
      </c>
      <c r="X40" s="1380"/>
      <c r="Y40" s="390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5"/>
      <c r="Q41" s="1385">
        <f t="shared" si="13"/>
        <v>111</v>
      </c>
      <c r="R41" s="1386" t="s">
        <v>5</v>
      </c>
      <c r="S41" s="1387">
        <f t="shared" si="9"/>
        <v>100</v>
      </c>
      <c r="T41" s="1386" t="s">
        <v>5</v>
      </c>
      <c r="U41" s="1387">
        <f t="shared" si="10"/>
        <v>100</v>
      </c>
      <c r="V41" s="1386" t="s">
        <v>5</v>
      </c>
      <c r="W41" s="1387">
        <f t="shared" si="11"/>
        <v>100</v>
      </c>
      <c r="X41" s="1380"/>
      <c r="Y41" s="3905"/>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5"/>
      <c r="Q42" s="1385">
        <f t="shared" si="13"/>
        <v>111</v>
      </c>
      <c r="R42" s="1390" t="s">
        <v>5</v>
      </c>
      <c r="S42" s="1391">
        <f t="shared" si="9"/>
        <v>100</v>
      </c>
      <c r="T42" s="1390" t="s">
        <v>5</v>
      </c>
      <c r="U42" s="1391">
        <f t="shared" si="10"/>
        <v>100</v>
      </c>
      <c r="V42" s="1390" t="s">
        <v>5</v>
      </c>
      <c r="W42" s="1391">
        <f t="shared" si="11"/>
        <v>100</v>
      </c>
      <c r="X42" s="1392"/>
      <c r="Y42" s="3905"/>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900" t="str">
        <f>A43</f>
        <v>成交单价</v>
      </c>
      <c r="Q43" s="3900"/>
      <c r="R43" s="3916">
        <f>E43</f>
        <v>0</v>
      </c>
      <c r="S43" s="3916"/>
      <c r="T43" s="3916">
        <f>G43</f>
        <v>0</v>
      </c>
      <c r="U43" s="3916"/>
      <c r="V43" s="3916">
        <f>I43</f>
        <v>0</v>
      </c>
      <c r="W43" s="3916"/>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900" t="str">
        <f>A44</f>
        <v>比较价格（元/平方米）</v>
      </c>
      <c r="Q44" s="3900"/>
      <c r="R44" s="3924" t="e">
        <f>ROUND(PRODUCT(R43,AA9:AA42),0)</f>
        <v>#DIV/0!</v>
      </c>
      <c r="S44" s="3924"/>
      <c r="T44" s="3924" t="e">
        <f>ROUND(PRODUCT(T43,AB9:AB42),0)</f>
        <v>#DIV/0!</v>
      </c>
      <c r="U44" s="3924"/>
      <c r="V44" s="3924" t="e">
        <f>ROUND(PRODUCT(V43,AC9:AC42),0)</f>
        <v>#DIV/0!</v>
      </c>
      <c r="W44" s="3924"/>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906" t="str">
        <f>A45</f>
        <v>估价对象XX用房的比较价格（楼面单价，元/平方米）</v>
      </c>
      <c r="Q45" s="3907"/>
      <c r="R45" s="3929" t="e">
        <f>ROUND(IF(D44="简单平均",AVERAGE(R44:W44),R44*F44+T44*H44+V44*J44),0)</f>
        <v>#DIV/0!</v>
      </c>
      <c r="S45" s="3929"/>
      <c r="T45" s="3929"/>
      <c r="U45" s="3929"/>
      <c r="V45" s="3929"/>
      <c r="W45" s="392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25" t="s">
        <v>1642</v>
      </c>
      <c r="H52" s="3926"/>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371200</v>
      </c>
      <c r="F53" s="1706" t="e">
        <f t="shared" ref="F53:F61" si="14">ROUND(B53*E53/10000,0)</f>
        <v>#DIV/0!</v>
      </c>
      <c r="G53" s="3927"/>
      <c r="H53" s="392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0.5</v>
      </c>
      <c r="D54" s="1948">
        <v>0.25</v>
      </c>
      <c r="E54" s="607"/>
      <c r="F54" s="1706" t="e">
        <f t="shared" si="14"/>
        <v>#DIV/0!</v>
      </c>
      <c r="G54" s="3279" t="s">
        <v>1643</v>
      </c>
      <c r="H54" s="1710" t="str">
        <f>项目基本情况!B43</f>
        <v>十级</v>
      </c>
      <c r="I54" s="1709">
        <f>SUMIF(修正!$A$57:$A$68,H54,修正!B57:B68)</f>
        <v>0.5</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0.2</v>
      </c>
      <c r="D55" s="1948">
        <v>0.25</v>
      </c>
      <c r="E55" s="607"/>
      <c r="F55" s="1706" t="e">
        <f t="shared" si="14"/>
        <v>#DIV/0!</v>
      </c>
      <c r="G55" s="3280"/>
      <c r="H55" s="1711" t="str">
        <f>项目基本情况!B43</f>
        <v>十级</v>
      </c>
      <c r="I55" s="1709">
        <f>SUMIF(修正!$A$57:$A$68,H55,修正!C57:C68)</f>
        <v>0.2</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v>
      </c>
      <c r="D56" s="1948">
        <v>0.25</v>
      </c>
      <c r="E56" s="607"/>
      <c r="F56" s="1706" t="e">
        <f t="shared" si="14"/>
        <v>#DIV/0!</v>
      </c>
      <c r="G56" s="3280"/>
      <c r="H56" s="1711" t="str">
        <f>项目基本情况!B43</f>
        <v>十级</v>
      </c>
      <c r="I56" s="1709">
        <f>SUMIF(修正!$A$57:$A$68,H56,修正!D57:D68)</f>
        <v>0.2</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v>
      </c>
      <c r="D59" s="1948">
        <v>0.25</v>
      </c>
      <c r="E59" s="609">
        <f>'数据-汇总表'!E13</f>
        <v>0</v>
      </c>
      <c r="F59" s="1706" t="e">
        <f t="shared" si="14"/>
        <v>#DIV/0!</v>
      </c>
      <c r="G59" s="1702" t="s">
        <v>851</v>
      </c>
      <c r="H59" s="1710" t="str">
        <f>IF(G59="商业",项目基本情况!B43,IF(G59="办公",项目基本情况!C43,IF(G59="住宅",项目基本情况!D43,项目基本情况!E43)))</f>
        <v>九级</v>
      </c>
      <c r="I59" s="1709">
        <f>SUMIF(修正!$A$57:$A$68,H59,修正!G57:G68)</f>
        <v>0.1</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v>
      </c>
      <c r="D60" s="1948">
        <v>0.25</v>
      </c>
      <c r="E60" s="609">
        <f>'数据-汇总表'!E14</f>
        <v>0</v>
      </c>
      <c r="F60" s="1706" t="e">
        <f t="shared" si="14"/>
        <v>#DIV/0!</v>
      </c>
      <c r="G60" s="1712" t="s">
        <v>1643</v>
      </c>
      <c r="H60" s="1711" t="str">
        <f>项目基本情况!B43</f>
        <v>十级</v>
      </c>
      <c r="I60" s="1709">
        <f>SUMIF(修正!$A$57:$A$68,H60,修正!G57:G68)</f>
        <v>0.1</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185600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"北京市平均增长率"&amp;TEXT('基准地价-住宅'!P28,"0.00%")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40" t="s">
        <v>2452</v>
      </c>
      <c r="B20" s="3943" t="s">
        <v>2462</v>
      </c>
      <c r="C20" s="3260" t="s">
        <v>2463</v>
      </c>
      <c r="D20" s="3261"/>
      <c r="E20" s="3262">
        <v>1</v>
      </c>
      <c r="F20" s="3263" t="s">
        <v>2464</v>
      </c>
      <c r="G20" s="1035"/>
      <c r="H20" s="1025"/>
      <c r="I20" s="1025"/>
    </row>
    <row r="21" spans="1:13" s="1408" customFormat="1">
      <c r="A21" s="3941"/>
      <c r="B21" s="3939"/>
      <c r="C21" s="3264" t="s">
        <v>2465</v>
      </c>
      <c r="D21" s="3265"/>
      <c r="E21" s="3266">
        <v>1</v>
      </c>
      <c r="F21" s="3263" t="s">
        <v>2466</v>
      </c>
      <c r="G21" s="1035"/>
      <c r="H21" s="1025"/>
      <c r="I21" s="1025"/>
    </row>
    <row r="22" spans="1:13" s="1408" customFormat="1">
      <c r="A22" s="3941"/>
      <c r="B22" s="3939"/>
      <c r="C22" s="3264" t="s">
        <v>2467</v>
      </c>
      <c r="D22" s="3265"/>
      <c r="E22" s="3266">
        <v>0.9</v>
      </c>
      <c r="F22" s="3263" t="s">
        <v>2468</v>
      </c>
      <c r="G22" s="1035"/>
      <c r="H22" s="1025"/>
      <c r="I22" s="1025"/>
    </row>
    <row r="23" spans="1:13" s="1408" customFormat="1">
      <c r="A23" s="3941"/>
      <c r="B23" s="3939"/>
      <c r="C23" s="3264" t="s">
        <v>2469</v>
      </c>
      <c r="D23" s="3265"/>
      <c r="E23" s="3266">
        <v>0.9</v>
      </c>
      <c r="F23" s="3263" t="s">
        <v>2470</v>
      </c>
      <c r="G23" s="1035"/>
      <c r="H23" s="1025"/>
      <c r="I23" s="1025"/>
    </row>
    <row r="24" spans="1:13" s="1408" customFormat="1">
      <c r="A24" s="3941"/>
      <c r="B24" s="3939"/>
      <c r="C24" s="3264" t="s">
        <v>2471</v>
      </c>
      <c r="D24" s="3265"/>
      <c r="E24" s="3266">
        <v>0.8</v>
      </c>
      <c r="F24" s="3263" t="s">
        <v>2472</v>
      </c>
      <c r="G24" s="1035"/>
      <c r="H24" s="1025"/>
      <c r="I24" s="1025"/>
    </row>
    <row r="25" spans="1:13" s="1408" customFormat="1" ht="14.25" thickBot="1">
      <c r="A25" s="3942"/>
      <c r="B25" s="3944"/>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45" t="s">
        <v>2457</v>
      </c>
      <c r="B27" s="3943" t="s">
        <v>2457</v>
      </c>
      <c r="C27" s="3260" t="s">
        <v>2477</v>
      </c>
      <c r="D27" s="3261"/>
      <c r="E27" s="3262">
        <v>1</v>
      </c>
      <c r="F27" s="3263" t="s">
        <v>2478</v>
      </c>
      <c r="G27" s="1035"/>
      <c r="H27" s="1025"/>
      <c r="I27" s="1025"/>
    </row>
    <row r="28" spans="1:13" s="1408" customFormat="1">
      <c r="A28" s="3946"/>
      <c r="B28" s="3939"/>
      <c r="C28" s="3264" t="s">
        <v>2479</v>
      </c>
      <c r="D28" s="3265"/>
      <c r="E28" s="3266">
        <v>1</v>
      </c>
      <c r="F28" s="3263" t="s">
        <v>2480</v>
      </c>
      <c r="G28" s="1035"/>
      <c r="H28" s="1025"/>
      <c r="I28" s="1025"/>
    </row>
    <row r="29" spans="1:13" s="1408" customFormat="1">
      <c r="A29" s="3946"/>
      <c r="B29" s="3939"/>
      <c r="C29" s="3264" t="s">
        <v>2481</v>
      </c>
      <c r="D29" s="3265"/>
      <c r="E29" s="3266">
        <v>0.8</v>
      </c>
      <c r="F29" s="3263" t="s">
        <v>2482</v>
      </c>
      <c r="G29" s="1035"/>
      <c r="H29" s="1025"/>
      <c r="I29" s="1025"/>
    </row>
    <row r="30" spans="1:13" s="1408" customFormat="1">
      <c r="A30" s="3946"/>
      <c r="B30" s="3939"/>
      <c r="C30" s="3264" t="s">
        <v>2483</v>
      </c>
      <c r="D30" s="3265"/>
      <c r="E30" s="3266">
        <v>0.8</v>
      </c>
      <c r="F30" s="3263" t="s">
        <v>2484</v>
      </c>
      <c r="G30" s="1035"/>
      <c r="H30" s="1025"/>
      <c r="I30" s="1025"/>
    </row>
    <row r="31" spans="1:13" s="1408" customFormat="1">
      <c r="A31" s="3946"/>
      <c r="B31" s="3939"/>
      <c r="C31" s="3264" t="s">
        <v>2485</v>
      </c>
      <c r="D31" s="3265"/>
      <c r="E31" s="3266">
        <v>0.8</v>
      </c>
      <c r="F31" s="3263" t="s">
        <v>2486</v>
      </c>
      <c r="G31" s="1035"/>
      <c r="H31" s="1025"/>
      <c r="I31" s="1025"/>
    </row>
    <row r="32" spans="1:13" s="1408" customFormat="1">
      <c r="A32" s="3946"/>
      <c r="B32" s="3939"/>
      <c r="C32" s="3264" t="s">
        <v>2487</v>
      </c>
      <c r="D32" s="3265"/>
      <c r="E32" s="3266">
        <v>0.7</v>
      </c>
      <c r="F32" s="3263" t="s">
        <v>2488</v>
      </c>
      <c r="G32" s="1035"/>
      <c r="H32" s="1025"/>
      <c r="I32" s="1025"/>
    </row>
    <row r="33" spans="1:9" s="1408" customFormat="1">
      <c r="A33" s="3946"/>
      <c r="B33" s="3939"/>
      <c r="C33" s="3264" t="s">
        <v>2489</v>
      </c>
      <c r="D33" s="3265"/>
      <c r="E33" s="3266">
        <v>0.8</v>
      </c>
      <c r="F33" s="3263" t="s">
        <v>2490</v>
      </c>
      <c r="G33" s="1035"/>
      <c r="H33" s="1025"/>
      <c r="I33" s="1025"/>
    </row>
    <row r="34" spans="1:9" s="1408" customFormat="1">
      <c r="A34" s="3946"/>
      <c r="B34" s="3939"/>
      <c r="C34" s="3264" t="s">
        <v>2491</v>
      </c>
      <c r="D34" s="3265"/>
      <c r="E34" s="3266">
        <v>0.6</v>
      </c>
      <c r="F34" s="3263" t="s">
        <v>2492</v>
      </c>
      <c r="G34" s="1035"/>
      <c r="H34" s="1025"/>
      <c r="I34" s="1025"/>
    </row>
    <row r="35" spans="1:9" s="1408" customFormat="1">
      <c r="A35" s="3946"/>
      <c r="B35" s="3939"/>
      <c r="C35" s="3264" t="s">
        <v>2493</v>
      </c>
      <c r="D35" s="3265"/>
      <c r="E35" s="3266">
        <v>0.2</v>
      </c>
      <c r="F35" s="3263" t="s">
        <v>2494</v>
      </c>
      <c r="G35" s="1035"/>
      <c r="H35" s="1025"/>
      <c r="I35" s="1025"/>
    </row>
    <row r="36" spans="1:9" s="1408" customFormat="1">
      <c r="A36" s="3946"/>
      <c r="B36" s="3939"/>
      <c r="C36" s="3264" t="s">
        <v>2495</v>
      </c>
      <c r="D36" s="3265"/>
      <c r="E36" s="3266">
        <v>0.2</v>
      </c>
      <c r="F36" s="3263" t="s">
        <v>2496</v>
      </c>
      <c r="G36" s="1035"/>
      <c r="H36" s="1025"/>
      <c r="I36" s="1025"/>
    </row>
    <row r="37" spans="1:9" s="1408" customFormat="1">
      <c r="A37" s="3946"/>
      <c r="B37" s="3937" t="s">
        <v>2497</v>
      </c>
      <c r="C37" s="3264" t="s">
        <v>2498</v>
      </c>
      <c r="D37" s="3265"/>
      <c r="E37" s="3266">
        <v>0.6</v>
      </c>
      <c r="F37" s="3263" t="s">
        <v>2499</v>
      </c>
      <c r="G37" s="1035"/>
      <c r="H37" s="1025"/>
      <c r="I37" s="1025"/>
    </row>
    <row r="38" spans="1:9" s="1408" customFormat="1">
      <c r="A38" s="3946"/>
      <c r="B38" s="3939"/>
      <c r="C38" s="3264" t="s">
        <v>2500</v>
      </c>
      <c r="D38" s="3265"/>
      <c r="E38" s="3266">
        <v>0.6</v>
      </c>
      <c r="F38" s="3263" t="s">
        <v>2501</v>
      </c>
      <c r="G38" s="1035"/>
      <c r="H38" s="1025"/>
      <c r="I38" s="1025"/>
    </row>
    <row r="39" spans="1:9" s="1408" customFormat="1" ht="14.25" thickBot="1">
      <c r="A39" s="3947"/>
      <c r="B39" s="3944"/>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40" t="s">
        <v>2455</v>
      </c>
      <c r="B41" s="3943" t="s">
        <v>2506</v>
      </c>
      <c r="C41" s="3260" t="s">
        <v>2507</v>
      </c>
      <c r="D41" s="3261"/>
      <c r="E41" s="3262">
        <v>1</v>
      </c>
      <c r="F41" s="3263" t="s">
        <v>2508</v>
      </c>
      <c r="G41" s="1035"/>
      <c r="H41" s="1025"/>
      <c r="I41" s="1025"/>
    </row>
    <row r="42" spans="1:9" s="1408" customFormat="1">
      <c r="A42" s="3941"/>
      <c r="B42" s="3939"/>
      <c r="C42" s="3264" t="s">
        <v>2509</v>
      </c>
      <c r="D42" s="3265"/>
      <c r="E42" s="3266">
        <v>1</v>
      </c>
      <c r="F42" s="3263" t="s">
        <v>2510</v>
      </c>
      <c r="G42" s="1035"/>
      <c r="H42" s="1025"/>
      <c r="I42" s="1025"/>
    </row>
    <row r="43" spans="1:9" s="1408" customFormat="1">
      <c r="A43" s="3941"/>
      <c r="B43" s="3938"/>
      <c r="C43" s="3264" t="s">
        <v>2511</v>
      </c>
      <c r="D43" s="3265"/>
      <c r="E43" s="3266">
        <v>1.5</v>
      </c>
      <c r="F43" s="3263" t="s">
        <v>2512</v>
      </c>
      <c r="G43" s="1035"/>
      <c r="H43" s="1025"/>
      <c r="I43" s="1025"/>
    </row>
    <row r="44" spans="1:9" s="1408" customFormat="1">
      <c r="A44" s="3941"/>
      <c r="B44" s="3275" t="s">
        <v>2457</v>
      </c>
      <c r="C44" s="3264" t="s">
        <v>2456</v>
      </c>
      <c r="D44" s="3265"/>
      <c r="E44" s="3266">
        <v>2</v>
      </c>
      <c r="F44" s="3263" t="s">
        <v>2513</v>
      </c>
      <c r="G44" s="1035"/>
      <c r="H44" s="1025"/>
      <c r="I44" s="1025"/>
    </row>
    <row r="45" spans="1:9" s="1408" customFormat="1">
      <c r="A45" s="3941"/>
      <c r="B45" s="3937" t="s">
        <v>2514</v>
      </c>
      <c r="C45" s="3264" t="s">
        <v>2515</v>
      </c>
      <c r="D45" s="3265"/>
      <c r="E45" s="3266">
        <v>1</v>
      </c>
      <c r="F45" s="3263" t="s">
        <v>2516</v>
      </c>
      <c r="G45" s="1035"/>
      <c r="H45" s="1025"/>
      <c r="I45" s="1025"/>
    </row>
    <row r="46" spans="1:9" s="1408" customFormat="1">
      <c r="A46" s="3941"/>
      <c r="B46" s="3939"/>
      <c r="C46" s="3264" t="s">
        <v>2517</v>
      </c>
      <c r="D46" s="3265"/>
      <c r="E46" s="3266">
        <v>1</v>
      </c>
      <c r="F46" s="3263" t="s">
        <v>2518</v>
      </c>
      <c r="G46" s="1035"/>
      <c r="H46" s="1025"/>
      <c r="I46" s="1025"/>
    </row>
    <row r="47" spans="1:9" s="1408" customFormat="1">
      <c r="A47" s="3941"/>
      <c r="B47" s="3939"/>
      <c r="C47" s="3264" t="s">
        <v>2519</v>
      </c>
      <c r="D47" s="3265"/>
      <c r="E47" s="3266">
        <v>1</v>
      </c>
      <c r="F47" s="3263" t="s">
        <v>2520</v>
      </c>
      <c r="G47" s="1035"/>
      <c r="H47" s="1025"/>
      <c r="I47" s="1025"/>
    </row>
    <row r="48" spans="1:9" s="1408" customFormat="1">
      <c r="A48" s="3941"/>
      <c r="B48" s="3939"/>
      <c r="C48" s="3264" t="s">
        <v>2521</v>
      </c>
      <c r="D48" s="3265"/>
      <c r="E48" s="3266">
        <v>1</v>
      </c>
      <c r="F48" s="3263" t="s">
        <v>2522</v>
      </c>
      <c r="G48" s="1035"/>
      <c r="H48" s="1025"/>
      <c r="I48" s="1025"/>
    </row>
    <row r="49" spans="1:9" s="1408" customFormat="1">
      <c r="A49" s="3941"/>
      <c r="B49" s="3939"/>
      <c r="C49" s="3264" t="s">
        <v>2523</v>
      </c>
      <c r="D49" s="3265"/>
      <c r="E49" s="3266">
        <v>1</v>
      </c>
      <c r="F49" s="3263" t="s">
        <v>2524</v>
      </c>
      <c r="G49" s="1035"/>
      <c r="H49" s="1025"/>
      <c r="I49" s="1025"/>
    </row>
    <row r="50" spans="1:9" s="1408" customFormat="1">
      <c r="A50" s="3941"/>
      <c r="B50" s="3939"/>
      <c r="C50" s="3264" t="s">
        <v>2525</v>
      </c>
      <c r="D50" s="3265"/>
      <c r="E50" s="3266">
        <v>1</v>
      </c>
      <c r="F50" s="3263" t="s">
        <v>2526</v>
      </c>
      <c r="G50" s="1035"/>
      <c r="H50" s="1025"/>
      <c r="I50" s="1025"/>
    </row>
    <row r="51" spans="1:9" s="1408" customFormat="1" ht="14.25" thickBot="1">
      <c r="A51" s="3942"/>
      <c r="B51" s="3944"/>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37" t="s">
        <v>2530</v>
      </c>
      <c r="C73" s="3253" t="s">
        <v>2531</v>
      </c>
      <c r="D73" s="3253" t="s">
        <v>2532</v>
      </c>
      <c r="E73" s="3276">
        <v>0.2</v>
      </c>
      <c r="F73" s="3275">
        <v>25</v>
      </c>
      <c r="H73" s="1025">
        <f>SUMIF(C71:C139,'基准地价-住宅'!C8,E71:E139)</f>
        <v>0</v>
      </c>
    </row>
    <row r="74" spans="1:8" s="1025" customFormat="1" ht="24">
      <c r="A74" s="3275">
        <v>2</v>
      </c>
      <c r="B74" s="3939"/>
      <c r="C74" s="3253" t="s">
        <v>2533</v>
      </c>
      <c r="D74" s="3253" t="s">
        <v>2534</v>
      </c>
      <c r="E74" s="3276">
        <v>0.2</v>
      </c>
      <c r="F74" s="3275">
        <v>25</v>
      </c>
    </row>
    <row r="75" spans="1:8" s="1025" customFormat="1" ht="24">
      <c r="A75" s="3275">
        <v>3</v>
      </c>
      <c r="B75" s="3939"/>
      <c r="C75" s="3253" t="s">
        <v>2535</v>
      </c>
      <c r="D75" s="3253" t="s">
        <v>2536</v>
      </c>
      <c r="E75" s="3276">
        <v>0.2</v>
      </c>
      <c r="F75" s="3275">
        <v>25</v>
      </c>
    </row>
    <row r="76" spans="1:8" s="1025" customFormat="1">
      <c r="A76" s="3275">
        <v>4</v>
      </c>
      <c r="B76" s="3939"/>
      <c r="C76" s="3253" t="s">
        <v>2537</v>
      </c>
      <c r="D76" s="3253" t="s">
        <v>2538</v>
      </c>
      <c r="E76" s="3276">
        <v>0.15</v>
      </c>
      <c r="F76" s="3275">
        <v>20</v>
      </c>
    </row>
    <row r="77" spans="1:8" s="1025" customFormat="1" ht="24">
      <c r="A77" s="3275">
        <v>5</v>
      </c>
      <c r="B77" s="3939"/>
      <c r="C77" s="3253" t="s">
        <v>2539</v>
      </c>
      <c r="D77" s="3253" t="s">
        <v>2540</v>
      </c>
      <c r="E77" s="3276">
        <v>0.15</v>
      </c>
      <c r="F77" s="3275">
        <v>20</v>
      </c>
    </row>
    <row r="78" spans="1:8" s="1025" customFormat="1" ht="24">
      <c r="A78" s="3275">
        <v>6</v>
      </c>
      <c r="B78" s="3939"/>
      <c r="C78" s="3253" t="s">
        <v>2541</v>
      </c>
      <c r="D78" s="3253" t="s">
        <v>2542</v>
      </c>
      <c r="E78" s="3276">
        <v>0.15</v>
      </c>
      <c r="F78" s="3275">
        <v>20</v>
      </c>
    </row>
    <row r="79" spans="1:8" s="1025" customFormat="1" ht="24">
      <c r="A79" s="3275">
        <v>7</v>
      </c>
      <c r="B79" s="3939"/>
      <c r="C79" s="3253" t="s">
        <v>2543</v>
      </c>
      <c r="D79" s="3253" t="s">
        <v>2544</v>
      </c>
      <c r="E79" s="3276">
        <v>0.15</v>
      </c>
      <c r="F79" s="3275">
        <v>20</v>
      </c>
    </row>
    <row r="80" spans="1:8" s="1025" customFormat="1" ht="24">
      <c r="A80" s="3275">
        <v>8</v>
      </c>
      <c r="B80" s="3939"/>
      <c r="C80" s="3253" t="s">
        <v>2545</v>
      </c>
      <c r="D80" s="3253" t="s">
        <v>2546</v>
      </c>
      <c r="E80" s="3276">
        <v>0.1</v>
      </c>
      <c r="F80" s="3275">
        <v>15</v>
      </c>
    </row>
    <row r="81" spans="1:6" s="1025" customFormat="1" ht="24">
      <c r="A81" s="3275">
        <v>9</v>
      </c>
      <c r="B81" s="3939"/>
      <c r="C81" s="3253" t="s">
        <v>2547</v>
      </c>
      <c r="D81" s="3253" t="s">
        <v>2548</v>
      </c>
      <c r="E81" s="3276">
        <v>0.1</v>
      </c>
      <c r="F81" s="3275">
        <v>15</v>
      </c>
    </row>
    <row r="82" spans="1:6" s="1025" customFormat="1" ht="24">
      <c r="A82" s="3275">
        <v>10</v>
      </c>
      <c r="B82" s="3939"/>
      <c r="C82" s="3253" t="s">
        <v>2549</v>
      </c>
      <c r="D82" s="3253" t="s">
        <v>2550</v>
      </c>
      <c r="E82" s="3276">
        <v>0.1</v>
      </c>
      <c r="F82" s="3275">
        <v>15</v>
      </c>
    </row>
    <row r="83" spans="1:6" s="1025" customFormat="1" ht="24">
      <c r="A83" s="3275">
        <v>11</v>
      </c>
      <c r="B83" s="3939"/>
      <c r="C83" s="3253" t="s">
        <v>2551</v>
      </c>
      <c r="D83" s="3253" t="s">
        <v>2552</v>
      </c>
      <c r="E83" s="3276">
        <v>0.1</v>
      </c>
      <c r="F83" s="3275">
        <v>15</v>
      </c>
    </row>
    <row r="84" spans="1:6" s="1025" customFormat="1" ht="24">
      <c r="A84" s="3275">
        <v>12</v>
      </c>
      <c r="B84" s="3939"/>
      <c r="C84" s="3253" t="s">
        <v>2553</v>
      </c>
      <c r="D84" s="3253" t="s">
        <v>2554</v>
      </c>
      <c r="E84" s="3276">
        <v>0.1</v>
      </c>
      <c r="F84" s="3275">
        <v>15</v>
      </c>
    </row>
    <row r="85" spans="1:6" s="1025" customFormat="1">
      <c r="A85" s="3275">
        <v>13</v>
      </c>
      <c r="B85" s="3939"/>
      <c r="C85" s="3253" t="s">
        <v>2555</v>
      </c>
      <c r="D85" s="3253" t="s">
        <v>2556</v>
      </c>
      <c r="E85" s="3276">
        <v>0.1</v>
      </c>
      <c r="F85" s="3275">
        <v>15</v>
      </c>
    </row>
    <row r="86" spans="1:6" s="1025" customFormat="1">
      <c r="A86" s="3275">
        <v>14</v>
      </c>
      <c r="B86" s="3939"/>
      <c r="C86" s="3253" t="s">
        <v>2557</v>
      </c>
      <c r="D86" s="3253" t="s">
        <v>2558</v>
      </c>
      <c r="E86" s="3276">
        <v>0.1</v>
      </c>
      <c r="F86" s="3275">
        <v>15</v>
      </c>
    </row>
    <row r="87" spans="1:6" s="1025" customFormat="1">
      <c r="A87" s="3275">
        <v>15</v>
      </c>
      <c r="B87" s="3939"/>
      <c r="C87" s="3253" t="s">
        <v>2559</v>
      </c>
      <c r="D87" s="3253" t="s">
        <v>2560</v>
      </c>
      <c r="E87" s="3276">
        <v>0.1</v>
      </c>
      <c r="F87" s="3275">
        <v>15</v>
      </c>
    </row>
    <row r="88" spans="1:6" s="1025" customFormat="1" ht="24">
      <c r="A88" s="3275">
        <v>16</v>
      </c>
      <c r="B88" s="3939"/>
      <c r="C88" s="3253" t="s">
        <v>2561</v>
      </c>
      <c r="D88" s="3253" t="s">
        <v>2562</v>
      </c>
      <c r="E88" s="3276">
        <v>0.1</v>
      </c>
      <c r="F88" s="3275">
        <v>15</v>
      </c>
    </row>
    <row r="89" spans="1:6" s="1025" customFormat="1" ht="24">
      <c r="A89" s="3275">
        <v>17</v>
      </c>
      <c r="B89" s="3938"/>
      <c r="C89" s="3253" t="s">
        <v>2563</v>
      </c>
      <c r="D89" s="3253" t="s">
        <v>2564</v>
      </c>
      <c r="E89" s="3276">
        <v>0.1</v>
      </c>
      <c r="F89" s="3275">
        <v>15</v>
      </c>
    </row>
    <row r="90" spans="1:6" s="1025" customFormat="1">
      <c r="A90" s="3275">
        <v>18</v>
      </c>
      <c r="B90" s="3937" t="s">
        <v>2565</v>
      </c>
      <c r="C90" s="3253" t="s">
        <v>2566</v>
      </c>
      <c r="D90" s="3253" t="s">
        <v>2567</v>
      </c>
      <c r="E90" s="3276">
        <v>0.2</v>
      </c>
      <c r="F90" s="3275">
        <v>25</v>
      </c>
    </row>
    <row r="91" spans="1:6" s="1025" customFormat="1" ht="24">
      <c r="A91" s="3275">
        <v>19</v>
      </c>
      <c r="B91" s="3939"/>
      <c r="C91" s="3253" t="s">
        <v>2568</v>
      </c>
      <c r="D91" s="3253" t="s">
        <v>2569</v>
      </c>
      <c r="E91" s="3276">
        <v>0.2</v>
      </c>
      <c r="F91" s="3275">
        <v>25</v>
      </c>
    </row>
    <row r="92" spans="1:6" s="1025" customFormat="1">
      <c r="A92" s="3275">
        <v>20</v>
      </c>
      <c r="B92" s="3939"/>
      <c r="C92" s="3253" t="s">
        <v>2570</v>
      </c>
      <c r="D92" s="3253" t="s">
        <v>2571</v>
      </c>
      <c r="E92" s="3276">
        <v>0.15</v>
      </c>
      <c r="F92" s="3275">
        <v>20</v>
      </c>
    </row>
    <row r="93" spans="1:6" s="1025" customFormat="1" ht="24">
      <c r="A93" s="3275">
        <v>21</v>
      </c>
      <c r="B93" s="3939"/>
      <c r="C93" s="3253" t="s">
        <v>2572</v>
      </c>
      <c r="D93" s="3253" t="s">
        <v>2573</v>
      </c>
      <c r="E93" s="3276">
        <v>0.15</v>
      </c>
      <c r="F93" s="3275">
        <v>20</v>
      </c>
    </row>
    <row r="94" spans="1:6" s="1025" customFormat="1" ht="24">
      <c r="A94" s="3275">
        <v>22</v>
      </c>
      <c r="B94" s="3939"/>
      <c r="C94" s="3253" t="s">
        <v>2574</v>
      </c>
      <c r="D94" s="3253" t="s">
        <v>2575</v>
      </c>
      <c r="E94" s="3276">
        <v>0.15</v>
      </c>
      <c r="F94" s="3275">
        <v>20</v>
      </c>
    </row>
    <row r="95" spans="1:6" s="1025" customFormat="1" ht="36">
      <c r="A95" s="3275">
        <v>23</v>
      </c>
      <c r="B95" s="3939"/>
      <c r="C95" s="3253" t="s">
        <v>2576</v>
      </c>
      <c r="D95" s="3253" t="s">
        <v>2577</v>
      </c>
      <c r="E95" s="3276">
        <v>0.15</v>
      </c>
      <c r="F95" s="3275">
        <v>20</v>
      </c>
    </row>
    <row r="96" spans="1:6" s="1025" customFormat="1">
      <c r="A96" s="3275">
        <v>24</v>
      </c>
      <c r="B96" s="3939"/>
      <c r="C96" s="3253" t="s">
        <v>2578</v>
      </c>
      <c r="D96" s="3253" t="s">
        <v>2579</v>
      </c>
      <c r="E96" s="3276">
        <v>0.1</v>
      </c>
      <c r="F96" s="3275">
        <v>15</v>
      </c>
    </row>
    <row r="97" spans="1:6" s="1025" customFormat="1" ht="24">
      <c r="A97" s="3275">
        <v>25</v>
      </c>
      <c r="B97" s="3939"/>
      <c r="C97" s="3253" t="s">
        <v>2580</v>
      </c>
      <c r="D97" s="3253" t="s">
        <v>2581</v>
      </c>
      <c r="E97" s="3276">
        <v>0.1</v>
      </c>
      <c r="F97" s="3275">
        <v>15</v>
      </c>
    </row>
    <row r="98" spans="1:6" s="1025" customFormat="1" ht="24">
      <c r="A98" s="3275">
        <v>26</v>
      </c>
      <c r="B98" s="3939"/>
      <c r="C98" s="3253" t="s">
        <v>2582</v>
      </c>
      <c r="D98" s="3253" t="s">
        <v>2583</v>
      </c>
      <c r="E98" s="3276">
        <v>0.1</v>
      </c>
      <c r="F98" s="3275">
        <v>15</v>
      </c>
    </row>
    <row r="99" spans="1:6" s="1025" customFormat="1" ht="24">
      <c r="A99" s="3275">
        <v>27</v>
      </c>
      <c r="B99" s="3939"/>
      <c r="C99" s="3253" t="s">
        <v>2584</v>
      </c>
      <c r="D99" s="3253" t="s">
        <v>2585</v>
      </c>
      <c r="E99" s="3276">
        <v>0.1</v>
      </c>
      <c r="F99" s="3275">
        <v>15</v>
      </c>
    </row>
    <row r="100" spans="1:6" s="1025" customFormat="1" ht="24">
      <c r="A100" s="3275">
        <v>28</v>
      </c>
      <c r="B100" s="3939"/>
      <c r="C100" s="3253" t="s">
        <v>2586</v>
      </c>
      <c r="D100" s="3253" t="s">
        <v>2587</v>
      </c>
      <c r="E100" s="3276">
        <v>0.1</v>
      </c>
      <c r="F100" s="3275">
        <v>15</v>
      </c>
    </row>
    <row r="101" spans="1:6" s="1025" customFormat="1" ht="24">
      <c r="A101" s="3275">
        <v>29</v>
      </c>
      <c r="B101" s="3939"/>
      <c r="C101" s="3253" t="s">
        <v>2588</v>
      </c>
      <c r="D101" s="3253" t="s">
        <v>2589</v>
      </c>
      <c r="E101" s="3276">
        <v>0.1</v>
      </c>
      <c r="F101" s="3275">
        <v>15</v>
      </c>
    </row>
    <row r="102" spans="1:6" s="1025" customFormat="1" ht="24">
      <c r="A102" s="3275">
        <v>30</v>
      </c>
      <c r="B102" s="3939"/>
      <c r="C102" s="3253" t="s">
        <v>2590</v>
      </c>
      <c r="D102" s="3253" t="s">
        <v>2591</v>
      </c>
      <c r="E102" s="3276">
        <v>0.1</v>
      </c>
      <c r="F102" s="3275">
        <v>15</v>
      </c>
    </row>
    <row r="103" spans="1:6" s="1025" customFormat="1" ht="24">
      <c r="A103" s="3275">
        <v>31</v>
      </c>
      <c r="B103" s="3939"/>
      <c r="C103" s="3253" t="s">
        <v>2592</v>
      </c>
      <c r="D103" s="3253" t="s">
        <v>2593</v>
      </c>
      <c r="E103" s="3276">
        <v>0.1</v>
      </c>
      <c r="F103" s="3275">
        <v>15</v>
      </c>
    </row>
    <row r="104" spans="1:6" s="1025" customFormat="1" ht="24">
      <c r="A104" s="3275">
        <v>32</v>
      </c>
      <c r="B104" s="3939"/>
      <c r="C104" s="3253" t="s">
        <v>2594</v>
      </c>
      <c r="D104" s="3253" t="s">
        <v>2595</v>
      </c>
      <c r="E104" s="3276">
        <v>0.1</v>
      </c>
      <c r="F104" s="3275">
        <v>15</v>
      </c>
    </row>
    <row r="105" spans="1:6" s="1025" customFormat="1" ht="24">
      <c r="A105" s="3275">
        <v>33</v>
      </c>
      <c r="B105" s="3939"/>
      <c r="C105" s="3253" t="s">
        <v>2596</v>
      </c>
      <c r="D105" s="3253" t="s">
        <v>2597</v>
      </c>
      <c r="E105" s="3276">
        <v>0.1</v>
      </c>
      <c r="F105" s="3275">
        <v>15</v>
      </c>
    </row>
    <row r="106" spans="1:6" s="1025" customFormat="1" ht="24">
      <c r="A106" s="3275">
        <v>34</v>
      </c>
      <c r="B106" s="3938"/>
      <c r="C106" s="3253" t="s">
        <v>2598</v>
      </c>
      <c r="D106" s="3253" t="s">
        <v>2599</v>
      </c>
      <c r="E106" s="3276">
        <v>0.1</v>
      </c>
      <c r="F106" s="3275">
        <v>15</v>
      </c>
    </row>
    <row r="107" spans="1:6" s="1025" customFormat="1" ht="24">
      <c r="A107" s="3275">
        <v>35</v>
      </c>
      <c r="B107" s="3937" t="s">
        <v>2600</v>
      </c>
      <c r="C107" s="3275" t="s">
        <v>2601</v>
      </c>
      <c r="D107" s="3253" t="s">
        <v>2602</v>
      </c>
      <c r="E107" s="3276">
        <v>0.15</v>
      </c>
      <c r="F107" s="3275">
        <v>20</v>
      </c>
    </row>
    <row r="108" spans="1:6" s="1025" customFormat="1" ht="24">
      <c r="A108" s="3275">
        <v>36</v>
      </c>
      <c r="B108" s="3939"/>
      <c r="C108" s="3275" t="s">
        <v>2603</v>
      </c>
      <c r="D108" s="3253" t="s">
        <v>2604</v>
      </c>
      <c r="E108" s="3276">
        <v>0.15</v>
      </c>
      <c r="F108" s="3275">
        <v>20</v>
      </c>
    </row>
    <row r="109" spans="1:6" s="1025" customFormat="1" ht="24">
      <c r="A109" s="3275">
        <v>37</v>
      </c>
      <c r="B109" s="3939"/>
      <c r="C109" s="3275" t="s">
        <v>2605</v>
      </c>
      <c r="D109" s="3253" t="s">
        <v>2606</v>
      </c>
      <c r="E109" s="3276">
        <v>0.15</v>
      </c>
      <c r="F109" s="3275">
        <v>20</v>
      </c>
    </row>
    <row r="110" spans="1:6" s="1025" customFormat="1">
      <c r="A110" s="3275">
        <v>38</v>
      </c>
      <c r="B110" s="3939"/>
      <c r="C110" s="3275" t="s">
        <v>2607</v>
      </c>
      <c r="D110" s="3253" t="s">
        <v>2608</v>
      </c>
      <c r="E110" s="3276">
        <v>0.1</v>
      </c>
      <c r="F110" s="3275">
        <v>15</v>
      </c>
    </row>
    <row r="111" spans="1:6" s="1025" customFormat="1" ht="24">
      <c r="A111" s="3275">
        <v>39</v>
      </c>
      <c r="B111" s="3939"/>
      <c r="C111" s="3275" t="s">
        <v>2609</v>
      </c>
      <c r="D111" s="3253" t="s">
        <v>2610</v>
      </c>
      <c r="E111" s="3276">
        <v>0.1</v>
      </c>
      <c r="F111" s="3275">
        <v>15</v>
      </c>
    </row>
    <row r="112" spans="1:6" s="1025" customFormat="1" ht="24">
      <c r="A112" s="3275">
        <v>40</v>
      </c>
      <c r="B112" s="3938"/>
      <c r="C112" s="3275" t="s">
        <v>2611</v>
      </c>
      <c r="D112" s="3253" t="s">
        <v>2612</v>
      </c>
      <c r="E112" s="3276">
        <v>0.1</v>
      </c>
      <c r="F112" s="3275">
        <v>15</v>
      </c>
    </row>
    <row r="113" spans="1:6" s="1025" customFormat="1" ht="24">
      <c r="A113" s="3275">
        <v>41</v>
      </c>
      <c r="B113" s="3936" t="s">
        <v>2613</v>
      </c>
      <c r="C113" s="3275" t="s">
        <v>2614</v>
      </c>
      <c r="D113" s="3253" t="s">
        <v>2615</v>
      </c>
      <c r="E113" s="3276">
        <v>0.1</v>
      </c>
      <c r="F113" s="3275">
        <v>15</v>
      </c>
    </row>
    <row r="114" spans="1:6" s="1025" customFormat="1">
      <c r="A114" s="3275">
        <v>42</v>
      </c>
      <c r="B114" s="3936"/>
      <c r="C114" s="3275" t="s">
        <v>2616</v>
      </c>
      <c r="D114" s="3253" t="s">
        <v>2617</v>
      </c>
      <c r="E114" s="3276">
        <v>0.1</v>
      </c>
      <c r="F114" s="3275">
        <v>15</v>
      </c>
    </row>
    <row r="115" spans="1:6" s="1025" customFormat="1" ht="24">
      <c r="A115" s="3275">
        <v>43</v>
      </c>
      <c r="B115" s="3936"/>
      <c r="C115" s="3275" t="s">
        <v>2618</v>
      </c>
      <c r="D115" s="3253" t="s">
        <v>2619</v>
      </c>
      <c r="E115" s="3276">
        <v>0.1</v>
      </c>
      <c r="F115" s="3275">
        <v>15</v>
      </c>
    </row>
    <row r="116" spans="1:6" s="1025" customFormat="1" ht="24">
      <c r="A116" s="3275">
        <v>44</v>
      </c>
      <c r="B116" s="3937" t="s">
        <v>2620</v>
      </c>
      <c r="C116" s="3275" t="s">
        <v>2621</v>
      </c>
      <c r="D116" s="3253" t="s">
        <v>2622</v>
      </c>
      <c r="E116" s="3276">
        <v>0.1</v>
      </c>
      <c r="F116" s="3275">
        <v>15</v>
      </c>
    </row>
    <row r="117" spans="1:6" s="1025" customFormat="1" ht="24">
      <c r="A117" s="3275">
        <v>45</v>
      </c>
      <c r="B117" s="3938"/>
      <c r="C117" s="3253" t="s">
        <v>2623</v>
      </c>
      <c r="D117" s="3253" t="s">
        <v>2624</v>
      </c>
      <c r="E117" s="3276">
        <v>0.1</v>
      </c>
      <c r="F117" s="3275">
        <v>15</v>
      </c>
    </row>
    <row r="118" spans="1:6" s="1025" customFormat="1" ht="24">
      <c r="A118" s="3275">
        <v>46</v>
      </c>
      <c r="B118" s="3937" t="s">
        <v>2625</v>
      </c>
      <c r="C118" s="3275" t="s">
        <v>2626</v>
      </c>
      <c r="D118" s="3253" t="s">
        <v>2627</v>
      </c>
      <c r="E118" s="3276">
        <v>0.1</v>
      </c>
      <c r="F118" s="3275">
        <v>15</v>
      </c>
    </row>
    <row r="119" spans="1:6" s="1025" customFormat="1" ht="24">
      <c r="A119" s="3275">
        <v>47</v>
      </c>
      <c r="B119" s="3938"/>
      <c r="C119" s="3275" t="s">
        <v>2628</v>
      </c>
      <c r="D119" s="3253" t="s">
        <v>2629</v>
      </c>
      <c r="E119" s="3276">
        <v>0.1</v>
      </c>
      <c r="F119" s="3275">
        <v>15</v>
      </c>
    </row>
    <row r="120" spans="1:6" s="1025" customFormat="1" ht="24">
      <c r="A120" s="3275">
        <v>48</v>
      </c>
      <c r="B120" s="3937" t="s">
        <v>2630</v>
      </c>
      <c r="C120" s="3275" t="s">
        <v>2631</v>
      </c>
      <c r="D120" s="3253" t="s">
        <v>2632</v>
      </c>
      <c r="E120" s="3276">
        <v>0.1</v>
      </c>
      <c r="F120" s="3275">
        <v>15</v>
      </c>
    </row>
    <row r="121" spans="1:6" s="1025" customFormat="1">
      <c r="A121" s="3275">
        <v>49</v>
      </c>
      <c r="B121" s="3938"/>
      <c r="C121" s="3275" t="s">
        <v>2633</v>
      </c>
      <c r="D121" s="3253" t="s">
        <v>2634</v>
      </c>
      <c r="E121" s="3276">
        <v>0.1</v>
      </c>
      <c r="F121" s="3275">
        <v>15</v>
      </c>
    </row>
    <row r="122" spans="1:6" s="1025" customFormat="1" ht="24">
      <c r="A122" s="3275">
        <v>50</v>
      </c>
      <c r="B122" s="3936" t="s">
        <v>2635</v>
      </c>
      <c r="C122" s="3275" t="s">
        <v>2636</v>
      </c>
      <c r="D122" s="3253" t="s">
        <v>2637</v>
      </c>
      <c r="E122" s="3276">
        <v>0.1</v>
      </c>
      <c r="F122" s="3275">
        <v>15</v>
      </c>
    </row>
    <row r="123" spans="1:6" s="1025" customFormat="1" ht="24">
      <c r="A123" s="3275">
        <v>51</v>
      </c>
      <c r="B123" s="3936"/>
      <c r="C123" s="3275" t="s">
        <v>2638</v>
      </c>
      <c r="D123" s="3253" t="s">
        <v>2639</v>
      </c>
      <c r="E123" s="3276">
        <v>0.1</v>
      </c>
      <c r="F123" s="3275">
        <v>15</v>
      </c>
    </row>
    <row r="124" spans="1:6" s="1025" customFormat="1" ht="24">
      <c r="A124" s="3275">
        <v>52</v>
      </c>
      <c r="B124" s="3936" t="s">
        <v>2640</v>
      </c>
      <c r="C124" s="3275" t="s">
        <v>2641</v>
      </c>
      <c r="D124" s="3253" t="s">
        <v>2642</v>
      </c>
      <c r="E124" s="3276">
        <v>0.1</v>
      </c>
      <c r="F124" s="3275">
        <v>15</v>
      </c>
    </row>
    <row r="125" spans="1:6" s="1025" customFormat="1" ht="24">
      <c r="A125" s="3275">
        <v>53</v>
      </c>
      <c r="B125" s="3936"/>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36" t="s">
        <v>2648</v>
      </c>
      <c r="C127" s="3275" t="s">
        <v>2649</v>
      </c>
      <c r="D127" s="3253" t="s">
        <v>2650</v>
      </c>
      <c r="E127" s="3276">
        <v>0.1</v>
      </c>
      <c r="F127" s="3275">
        <v>15</v>
      </c>
    </row>
    <row r="128" spans="1:6">
      <c r="A128" s="3275">
        <v>56</v>
      </c>
      <c r="B128" s="3936"/>
      <c r="C128" s="3275" t="s">
        <v>2651</v>
      </c>
      <c r="D128" s="3253" t="s">
        <v>2652</v>
      </c>
      <c r="E128" s="3276">
        <v>0.1</v>
      </c>
      <c r="F128" s="3275">
        <v>15</v>
      </c>
    </row>
    <row r="129" spans="1:14" ht="24">
      <c r="A129" s="3275">
        <v>57</v>
      </c>
      <c r="B129" s="3936"/>
      <c r="C129" s="3275" t="s">
        <v>2653</v>
      </c>
      <c r="D129" s="3253" t="s">
        <v>2654</v>
      </c>
      <c r="E129" s="3276">
        <v>0.1</v>
      </c>
      <c r="F129" s="3275">
        <v>15</v>
      </c>
    </row>
    <row r="130" spans="1:14" ht="24">
      <c r="A130" s="3275">
        <v>58</v>
      </c>
      <c r="B130" s="3936" t="s">
        <v>2655</v>
      </c>
      <c r="C130" s="3275" t="s">
        <v>2656</v>
      </c>
      <c r="D130" s="3253" t="s">
        <v>2657</v>
      </c>
      <c r="E130" s="3276">
        <v>0.1</v>
      </c>
      <c r="F130" s="3275">
        <v>15</v>
      </c>
    </row>
    <row r="131" spans="1:14" ht="24">
      <c r="A131" s="3275">
        <v>59</v>
      </c>
      <c r="B131" s="3936"/>
      <c r="C131" s="3275" t="s">
        <v>2658</v>
      </c>
      <c r="D131" s="3253" t="s">
        <v>2659</v>
      </c>
      <c r="E131" s="3276">
        <v>0.1</v>
      </c>
      <c r="F131" s="3275">
        <v>15</v>
      </c>
    </row>
    <row r="132" spans="1:14" ht="24">
      <c r="A132" s="3275">
        <v>60</v>
      </c>
      <c r="B132" s="3937" t="s">
        <v>2660</v>
      </c>
      <c r="C132" s="3275" t="s">
        <v>2661</v>
      </c>
      <c r="D132" s="3253" t="s">
        <v>2662</v>
      </c>
      <c r="E132" s="3276">
        <v>0.1</v>
      </c>
      <c r="F132" s="3275">
        <v>15</v>
      </c>
    </row>
    <row r="133" spans="1:14" ht="24">
      <c r="A133" s="3275">
        <v>61</v>
      </c>
      <c r="B133" s="3938"/>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36" t="s">
        <v>2668</v>
      </c>
      <c r="C135" s="3275" t="s">
        <v>2669</v>
      </c>
      <c r="D135" s="3253" t="s">
        <v>2670</v>
      </c>
      <c r="E135" s="3276">
        <v>0.1</v>
      </c>
      <c r="F135" s="3275">
        <v>15</v>
      </c>
    </row>
    <row r="136" spans="1:14">
      <c r="A136" s="3275">
        <v>64</v>
      </c>
      <c r="B136" s="3936"/>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48" t="s">
        <v>2817</v>
      </c>
      <c r="B1" s="3948"/>
      <c r="C1" s="3948"/>
      <c r="D1" s="3948"/>
      <c r="E1" s="3948"/>
      <c r="F1" s="3948"/>
      <c r="G1" s="3949"/>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50" t="s">
        <v>2820</v>
      </c>
      <c r="B3" s="3416"/>
      <c r="C3" s="3417" t="s">
        <v>2797</v>
      </c>
      <c r="D3" s="3417" t="s">
        <v>2821</v>
      </c>
      <c r="E3" s="3417" t="s">
        <v>2799</v>
      </c>
      <c r="F3" s="3417" t="s">
        <v>2822</v>
      </c>
      <c r="G3" s="3417" t="s">
        <v>2740</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51"/>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SUMPRODUCT((B5:B9='基准地价-住宅'!I2)*(C3:G3='基准地价-住宅'!E2)*(C5:G9))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SUMPRODUCT((B10:B29='基准地价-住宅'!I2)*(C3:G3='基准地价-住宅'!E2)*(C10:G29))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SUMPRODUCT((B30:B54='基准地价-住宅'!I2)*(C3:G3='基准地价-住宅'!E2)*(C30:G54))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SUMPRODUCT((B55:B86='基准地价-住宅'!I2)*(C3:G3='基准地价-住宅'!E2)*(C55:G86))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SUMPRODUCT((B87:B126='基准地价-住宅'!I2)*(C3:G3='基准地价-住宅'!E2)*(C87:G126))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SUMPRODUCT((B127:B189='基准地价-住宅'!I2)*(C3:G3='基准地价-住宅'!E2)*(C127:G189))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SUMPRODUCT((B190:B233='基准地价-住宅'!I2)*(C3:G3='基准地价-住宅'!E2)*(C190:G233))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SUMPRODUCT((B234:B276='基准地价-住宅'!I2)*(C3:G3='基准地价-住宅'!E2)*(C234:G276))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SUMPRODUCT((B277:B326='基准地价-住宅'!I2)*(C3:G3='基准地价-住宅'!E2)*(C277:G326))</f>
        <v>6440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SUMPRODUCT((B327:B357='基准地价-住宅'!I2)*(C3:G3='基准地价-住宅'!E2)*(C327:G357))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SUMPRODUCT((B358:B377='基准地价-住宅'!I2)*(C3:G3='基准地价-住宅'!E2)*(C358:G377))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SUMPRODUCT((B378:B384='基准地价-住宅'!I2)*(C3:G3='基准地价-住宅'!E2)*(C378:G384))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2765</v>
      </c>
      <c r="B358" s="3451" t="s">
        <v>3011</v>
      </c>
      <c r="C358" s="3451">
        <v>2080</v>
      </c>
      <c r="D358" s="3451">
        <v>2040</v>
      </c>
      <c r="E358" s="3451">
        <v>2010</v>
      </c>
      <c r="F358" s="3451">
        <v>530</v>
      </c>
      <c r="G358" s="3452">
        <v>1230</v>
      </c>
      <c r="H358" s="3446"/>
    </row>
    <row r="359" spans="1:8">
      <c r="A359" s="3453" t="s">
        <v>2765</v>
      </c>
      <c r="B359" s="3433" t="s">
        <v>3012</v>
      </c>
      <c r="C359" s="3433">
        <v>1850</v>
      </c>
      <c r="D359" s="3433">
        <v>1820</v>
      </c>
      <c r="E359" s="3433">
        <v>1780</v>
      </c>
      <c r="F359" s="3433">
        <v>520</v>
      </c>
      <c r="G359" s="3445">
        <v>1100</v>
      </c>
      <c r="H359" s="3446"/>
    </row>
    <row r="360" spans="1:8">
      <c r="A360" s="3453" t="s">
        <v>2765</v>
      </c>
      <c r="B360" s="3433" t="s">
        <v>3013</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3014</v>
      </c>
      <c r="C362" s="3433">
        <v>2650</v>
      </c>
      <c r="D362" s="3433">
        <v>2610</v>
      </c>
      <c r="E362" s="3433">
        <v>2570</v>
      </c>
      <c r="F362" s="3433">
        <v>630</v>
      </c>
      <c r="G362" s="3445">
        <v>1570</v>
      </c>
      <c r="H362" s="3446"/>
    </row>
    <row r="363" spans="1:8">
      <c r="A363" s="3453" t="s">
        <v>2765</v>
      </c>
      <c r="B363" s="3433" t="s">
        <v>3015</v>
      </c>
      <c r="C363" s="3433">
        <v>2390</v>
      </c>
      <c r="D363" s="3433">
        <v>2360</v>
      </c>
      <c r="E363" s="3433">
        <v>2320</v>
      </c>
      <c r="F363" s="3433">
        <v>600</v>
      </c>
      <c r="G363" s="3445">
        <v>1420</v>
      </c>
      <c r="H363" s="3446"/>
    </row>
    <row r="364" spans="1:8">
      <c r="A364" s="3453" t="s">
        <v>2765</v>
      </c>
      <c r="B364" s="3433" t="s">
        <v>3016</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3017</v>
      </c>
      <c r="C366" s="3433">
        <v>2410</v>
      </c>
      <c r="D366" s="3433">
        <v>2370</v>
      </c>
      <c r="E366" s="3433">
        <v>2330</v>
      </c>
      <c r="F366" s="3433">
        <v>570</v>
      </c>
      <c r="G366" s="3445">
        <v>1440</v>
      </c>
      <c r="H366" s="3446"/>
    </row>
    <row r="367" spans="1:8">
      <c r="A367" s="3453" t="s">
        <v>2765</v>
      </c>
      <c r="B367" s="3433" t="s">
        <v>3018</v>
      </c>
      <c r="C367" s="3433">
        <v>2300</v>
      </c>
      <c r="D367" s="3433">
        <v>2260</v>
      </c>
      <c r="E367" s="3433">
        <v>2220</v>
      </c>
      <c r="F367" s="3433">
        <v>560</v>
      </c>
      <c r="G367" s="3445">
        <v>1370</v>
      </c>
      <c r="H367" s="3446"/>
    </row>
    <row r="368" spans="1:8">
      <c r="A368" s="3453" t="s">
        <v>2765</v>
      </c>
      <c r="B368" s="3433" t="s">
        <v>3019</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3020</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3021</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3022</v>
      </c>
      <c r="C377" s="3449">
        <v>1930</v>
      </c>
      <c r="D377" s="3449">
        <v>1890</v>
      </c>
      <c r="E377" s="3449">
        <v>1860</v>
      </c>
      <c r="F377" s="3449">
        <v>530</v>
      </c>
      <c r="G377" s="3456">
        <v>1150</v>
      </c>
      <c r="H377" s="3446"/>
    </row>
    <row r="378" spans="1:8">
      <c r="A378" s="3450" t="s">
        <v>2766</v>
      </c>
      <c r="B378" s="3451" t="s">
        <v>3023</v>
      </c>
      <c r="C378" s="3451">
        <v>1520</v>
      </c>
      <c r="D378" s="3451">
        <v>1490</v>
      </c>
      <c r="E378" s="3451">
        <v>1460</v>
      </c>
      <c r="F378" s="3451">
        <v>460</v>
      </c>
      <c r="G378" s="3452">
        <v>940</v>
      </c>
      <c r="H378" s="3446"/>
    </row>
    <row r="379" spans="1:8">
      <c r="A379" s="3453" t="s">
        <v>2766</v>
      </c>
      <c r="B379" s="3433" t="s">
        <v>3024</v>
      </c>
      <c r="C379" s="3433">
        <v>1500</v>
      </c>
      <c r="D379" s="3433">
        <v>1470</v>
      </c>
      <c r="E379" s="3433">
        <v>1430</v>
      </c>
      <c r="F379" s="3433">
        <v>460</v>
      </c>
      <c r="G379" s="3445">
        <v>920</v>
      </c>
      <c r="H379" s="3446"/>
    </row>
    <row r="380" spans="1:8">
      <c r="A380" s="3453" t="s">
        <v>2766</v>
      </c>
      <c r="B380" s="3433" t="s">
        <v>3025</v>
      </c>
      <c r="C380" s="3433">
        <v>1620</v>
      </c>
      <c r="D380" s="3433">
        <v>1590</v>
      </c>
      <c r="E380" s="3433">
        <v>1560</v>
      </c>
      <c r="F380" s="3433">
        <v>480</v>
      </c>
      <c r="G380" s="3445">
        <v>1000</v>
      </c>
      <c r="H380" s="3446"/>
    </row>
    <row r="381" spans="1:8">
      <c r="A381" s="3453" t="s">
        <v>2766</v>
      </c>
      <c r="B381" s="3433" t="s">
        <v>3026</v>
      </c>
      <c r="C381" s="3433">
        <v>1460</v>
      </c>
      <c r="D381" s="3433">
        <v>1430</v>
      </c>
      <c r="E381" s="3433">
        <v>1390</v>
      </c>
      <c r="F381" s="3433">
        <v>450</v>
      </c>
      <c r="G381" s="3445">
        <v>900</v>
      </c>
      <c r="H381" s="3446"/>
    </row>
    <row r="382" spans="1:8">
      <c r="A382" s="3453" t="s">
        <v>2766</v>
      </c>
      <c r="B382" s="3433" t="s">
        <v>3027</v>
      </c>
      <c r="C382" s="3433">
        <v>1310</v>
      </c>
      <c r="D382" s="3433">
        <v>1280</v>
      </c>
      <c r="E382" s="3433">
        <v>1250</v>
      </c>
      <c r="F382" s="3433">
        <v>440</v>
      </c>
      <c r="G382" s="3445">
        <v>800</v>
      </c>
      <c r="H382" s="3446"/>
    </row>
    <row r="383" spans="1:8">
      <c r="A383" s="3453" t="s">
        <v>2766</v>
      </c>
      <c r="B383" s="3433" t="s">
        <v>3028</v>
      </c>
      <c r="C383" s="3433">
        <v>1260</v>
      </c>
      <c r="D383" s="3433">
        <v>1230</v>
      </c>
      <c r="E383" s="3433">
        <v>1200</v>
      </c>
      <c r="F383" s="3433">
        <v>420</v>
      </c>
      <c r="G383" s="3445">
        <v>770</v>
      </c>
      <c r="H383" s="3446"/>
    </row>
    <row r="384" spans="1:8" ht="14.25" thickBot="1">
      <c r="A384" s="3454" t="s">
        <v>2766</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2" t="s">
        <v>3192</v>
      </c>
      <c r="B1" s="3952"/>
      <c r="C1" s="3952"/>
      <c r="D1" s="3952"/>
      <c r="E1" s="3952"/>
      <c r="F1" s="3953"/>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2741</v>
      </c>
      <c r="C4" s="3503" t="s">
        <v>1212</v>
      </c>
      <c r="D4" s="3503" t="s">
        <v>3191</v>
      </c>
      <c r="E4" s="3503" t="s">
        <v>905</v>
      </c>
      <c r="F4" s="3503" t="s">
        <v>3196</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185600平方米。根据《建设工程规划许可证》[]、《出让合同》[]，估价对象规划建筑面积为371200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根据《国有土地使用证》[]，估价对象（分摊）出让国有建设用地使用权面积为185600平方米。根据《建设工程规划许可证》[]、《出让合同》[]，估价对象规划建筑面积为371200平方米。</v>
      </c>
    </row>
    <row r="21" spans="1:1" ht="18.75">
      <c r="A21" s="1579" t="s">
        <v>1592</v>
      </c>
    </row>
    <row r="22" spans="1:1" ht="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54" t="s">
        <v>3030</v>
      </c>
      <c r="B1" s="3954"/>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57" t="s">
        <v>1858</v>
      </c>
      <c r="C1" s="3957"/>
      <c r="D1" s="3957"/>
      <c r="E1" s="3957"/>
      <c r="F1" s="3957"/>
      <c r="G1" s="3956" t="s">
        <v>1859</v>
      </c>
      <c r="H1" s="3956"/>
      <c r="I1" s="3956"/>
      <c r="J1" s="3956"/>
      <c r="K1" s="3956"/>
      <c r="L1" s="3956"/>
      <c r="N1" s="3956" t="s">
        <v>1860</v>
      </c>
      <c r="O1" s="3956"/>
      <c r="P1" s="3956"/>
      <c r="Q1" s="3956"/>
      <c r="S1" s="3956" t="s">
        <v>1861</v>
      </c>
      <c r="T1" s="3956"/>
      <c r="U1" s="3956"/>
      <c r="V1" s="3956"/>
      <c r="X1" s="3955" t="s">
        <v>1921</v>
      </c>
      <c r="Y1" s="3956"/>
      <c r="Z1" s="3956"/>
      <c r="AA1" s="3956"/>
      <c r="AB1" s="3956"/>
      <c r="AD1" s="3955" t="s">
        <v>1925</v>
      </c>
      <c r="AE1" s="3956"/>
      <c r="AF1" s="3956"/>
      <c r="AG1" s="3956"/>
      <c r="AH1" s="3956"/>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59">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59"/>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59"/>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65"/>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6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9"/>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59"/>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65"/>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6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9"/>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9"/>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60"/>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9"/>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9"/>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60"/>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9"/>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9"/>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60"/>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61">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62"/>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62"/>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63"/>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5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59"/>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59"/>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60"/>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5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9">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59">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60">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5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9">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59">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60">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5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9">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59">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60">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5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9">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59">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60">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5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9">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59">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60">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5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9">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59">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60">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5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9">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59">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60">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5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9">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59">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60">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5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59">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59">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60">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5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59">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59">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60">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'基准地价-住宅'!G23</f>
        <v>44994</v>
      </c>
      <c r="B1" s="3348" t="s">
        <v>2793</v>
      </c>
      <c r="C1" s="3349"/>
      <c r="D1" s="3349"/>
      <c r="E1" s="3349"/>
      <c r="F1" s="3349"/>
      <c r="G1" s="3349"/>
      <c r="H1" s="3349"/>
      <c r="I1" s="3349"/>
      <c r="J1" s="3350"/>
      <c r="K1" s="3349" t="s">
        <v>2794</v>
      </c>
      <c r="L1" s="3349"/>
      <c r="M1" s="3349"/>
      <c r="N1" s="3349"/>
      <c r="O1" s="3349"/>
      <c r="P1" s="3349"/>
      <c r="Q1" s="3350"/>
      <c r="R1" s="3966" t="s">
        <v>2803</v>
      </c>
      <c r="S1" s="3967"/>
      <c r="T1" s="3967"/>
      <c r="U1" s="3967"/>
      <c r="V1" s="3967"/>
      <c r="W1" s="3967"/>
      <c r="X1" s="3350"/>
      <c r="Y1" s="3966" t="s">
        <v>2814</v>
      </c>
      <c r="Z1" s="3967"/>
      <c r="AA1" s="3967"/>
      <c r="AB1" s="3967"/>
      <c r="AC1" s="3967"/>
      <c r="AD1" s="3967"/>
    </row>
    <row r="2" spans="1:30" ht="14.25" thickBot="1">
      <c r="A2" s="3341"/>
      <c r="B2" s="3351"/>
      <c r="C2" s="3352"/>
      <c r="D2" s="3353" t="s">
        <v>2796</v>
      </c>
      <c r="E2" s="3354" t="s">
        <v>2797</v>
      </c>
      <c r="F2" s="3354" t="s">
        <v>2798</v>
      </c>
      <c r="G2" s="3354" t="s">
        <v>2799</v>
      </c>
      <c r="H2" s="3354" t="s">
        <v>2800</v>
      </c>
      <c r="I2" s="3354" t="s">
        <v>2740</v>
      </c>
      <c r="J2" s="3355"/>
      <c r="K2" s="3353" t="s">
        <v>2796</v>
      </c>
      <c r="L2" s="3354" t="s">
        <v>2797</v>
      </c>
      <c r="M2" s="3354" t="s">
        <v>2798</v>
      </c>
      <c r="N2" s="3354" t="s">
        <v>2799</v>
      </c>
      <c r="O2" s="3354" t="s">
        <v>2800</v>
      </c>
      <c r="P2" s="3354" t="s">
        <v>2740</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2457</v>
      </c>
    </row>
    <row r="3" spans="1:30">
      <c r="A3" s="3342" t="s">
        <v>2783</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3255</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1.0668</v>
      </c>
      <c r="S5" s="3381">
        <f>ROUND(IF(项目基本情况!$B$8="出让",SUMPRODUCT(PRODUCT(1+L5:$L$16)),SUMPRODUCT(PRODUCT(1+L5:$L$15))),4)</f>
        <v>1.0266999999999999</v>
      </c>
      <c r="T5" s="3381">
        <f>ROUND(IF(项目基本情况!$B$8="出让",SUMPRODUCT(PRODUCT(1+M5:$M$16)),SUMPRODUCT(PRODUCT(1+M5:$M$15))),4)</f>
        <v>1.0119</v>
      </c>
      <c r="U5" s="3381">
        <f>ROUND(IF(项目基本情况!$B$8="出让",SUMPRODUCT(PRODUCT(1+N5:$N$16)),SUMPRODUCT(PRODUCT(1+N5:$N$15))),4)</f>
        <v>1.0734999999999999</v>
      </c>
      <c r="V5" s="3381">
        <f>ROUND(IF(项目基本情况!$B$8="出让",SUMPRODUCT(PRODUCT(1+O5:$O$16)),SUMPRODUCT(PRODUCT(1+O5:$O$15))),4)</f>
        <v>1.054</v>
      </c>
      <c r="W5" s="3381">
        <f>T5</f>
        <v>1.0119</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3256</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1.0668</v>
      </c>
      <c r="S6" s="3381">
        <f>ROUND(IF(项目基本情况!$B$8="出让",SUMPRODUCT(PRODUCT(1+L6:$L$16)),SUMPRODUCT(PRODUCT(1+L6:$L$15))),4)</f>
        <v>1.0266999999999999</v>
      </c>
      <c r="T6" s="3381">
        <f>ROUND(IF(项目基本情况!$B$8="出让",SUMPRODUCT(PRODUCT(1+M6:$M$16)),SUMPRODUCT(PRODUCT(1+M6:$M$15))),4)</f>
        <v>1.0119</v>
      </c>
      <c r="U6" s="3381">
        <f>ROUND(IF(项目基本情况!$B$8="出让",SUMPRODUCT(PRODUCT(1+N6:$N$16)),SUMPRODUCT(PRODUCT(1+N6:$N$15))),4)</f>
        <v>1.0734999999999999</v>
      </c>
      <c r="V6" s="3381">
        <f>ROUND(IF(项目基本情况!$B$8="出让",SUMPRODUCT(PRODUCT(1+O6:$O$16)),SUMPRODUCT(PRODUCT(1+O6:$O$15))),4)</f>
        <v>1.054</v>
      </c>
      <c r="W6" s="3381">
        <f t="shared" ref="W6:W8" si="9">T6</f>
        <v>1.0119</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3254</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1.0668</v>
      </c>
      <c r="S7" s="3381">
        <f>ROUND(IF(项目基本情况!$B$8="出让",SUMPRODUCT(PRODUCT(1+L7:$L$16)),SUMPRODUCT(PRODUCT(1+L7:$L$15))),4)</f>
        <v>1.0266999999999999</v>
      </c>
      <c r="T7" s="3381">
        <f>ROUND(IF(项目基本情况!$B$8="出让",SUMPRODUCT(PRODUCT(1+M7:$M$16)),SUMPRODUCT(PRODUCT(1+M7:$M$15))),4)</f>
        <v>1.0119</v>
      </c>
      <c r="U7" s="3381">
        <f>ROUND(IF(项目基本情况!$B$8="出让",SUMPRODUCT(PRODUCT(1+N7:$N$16)),SUMPRODUCT(PRODUCT(1+N7:$N$15))),4)</f>
        <v>1.0734999999999999</v>
      </c>
      <c r="V7" s="3381">
        <f>ROUND(IF(项目基本情况!$B$8="出让",SUMPRODUCT(PRODUCT(1+O7:$O$16)),SUMPRODUCT(PRODUCT(1+O7:$O$15))),4)</f>
        <v>1.054</v>
      </c>
      <c r="W7" s="3381">
        <f t="shared" si="9"/>
        <v>1.0119</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2784</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1.0668</v>
      </c>
      <c r="S8" s="3381">
        <f>ROUND(IF(项目基本情况!$B$8="出让",SUMPRODUCT(PRODUCT(1+L8:$L$16)),SUMPRODUCT(PRODUCT(1+L8:$L$15))),4)</f>
        <v>1.0266999999999999</v>
      </c>
      <c r="T8" s="3381">
        <f>ROUND(IF(项目基本情况!$B$8="出让",SUMPRODUCT(PRODUCT(1+M8:$M$16)),SUMPRODUCT(PRODUCT(1+M8:$M$15))),4)</f>
        <v>1.0119</v>
      </c>
      <c r="U8" s="3381">
        <f>ROUND(IF(项目基本情况!$B$8="出让",SUMPRODUCT(PRODUCT(1+N8:$N$16)),SUMPRODUCT(PRODUCT(1+N8:$N$15))),4)</f>
        <v>1.0734999999999999</v>
      </c>
      <c r="V8" s="3381">
        <f>ROUND(IF(项目基本情况!$B$8="出让",SUMPRODUCT(PRODUCT(1+O8:$O$16)),SUMPRODUCT(PRODUCT(1+O8:$O$15))),4)</f>
        <v>1.054</v>
      </c>
      <c r="W8" s="3381">
        <f t="shared" si="9"/>
        <v>1.0119</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3252</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1.0668</v>
      </c>
      <c r="S9" s="3368">
        <f>ROUND(IF(项目基本情况!B8="出让",SUMPRODUCT(PRODUCT(1+L9:L16)),SUMPRODUCT(PRODUCT(1+L9:L15))),4)</f>
        <v>1.0266999999999999</v>
      </c>
      <c r="T9" s="3368">
        <f>ROUND(IF(项目基本情况!B8="出让",SUMPRODUCT(PRODUCT(1+M9:M16)),SUMPRODUCT(PRODUCT(1+M9:M15))),4)</f>
        <v>1.0119</v>
      </c>
      <c r="U9" s="3368">
        <f>ROUND(IF(项目基本情况!B8="出让",SUMPRODUCT(PRODUCT(1+N9:N16)),SUMPRODUCT(PRODUCT(1+N9:N15))),4)</f>
        <v>1.0734999999999999</v>
      </c>
      <c r="V9" s="3368">
        <f>ROUND(IF(项目基本情况!B8="出让",SUMPRODUCT(PRODUCT(1+O9:O16)),SUMPRODUCT(PRODUCT(1+O9:O15))),4)</f>
        <v>1.054</v>
      </c>
      <c r="W9" s="3368">
        <f t="shared" ref="W9:W16" si="15">T9</f>
        <v>1.0119</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1.0602</v>
      </c>
      <c r="S10" s="3381">
        <f>ROUND(IF(项目基本情况!B8="出让",SUMPRODUCT(PRODUCT(1+L10:L16)),SUMPRODUCT(PRODUCT(1+L10:L15))),4)</f>
        <v>1.0246</v>
      </c>
      <c r="T10" s="3381">
        <f>ROUND(IF(项目基本情况!B8="出让",SUMPRODUCT(PRODUCT(1+M10:M16)),SUMPRODUCT(PRODUCT(1+M10:M15))),4)</f>
        <v>1.0107999999999999</v>
      </c>
      <c r="U10" s="3381">
        <f>ROUND(IF(项目基本情况!B8="出让",SUMPRODUCT(PRODUCT(1+N10:N16)),SUMPRODUCT(PRODUCT(1+N10:N15))),4)</f>
        <v>1.0662</v>
      </c>
      <c r="V10" s="3381">
        <f>ROUND(IF(项目基本情况!B8="出让",SUMPRODUCT(PRODUCT(1+O10:O16)),SUMPRODUCT(PRODUCT(1+O10:O15))),4)</f>
        <v>1.0485</v>
      </c>
      <c r="W10" s="3381">
        <f t="shared" si="15"/>
        <v>1.0107999999999999</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1.0531999999999999</v>
      </c>
      <c r="S11" s="3381">
        <f>ROUND(IF(项目基本情况!B8="出让",SUMPRODUCT(PRODUCT(1+L11:L16)),SUMPRODUCT(PRODUCT(1+L11:L15))),4)</f>
        <v>1.0214000000000001</v>
      </c>
      <c r="T11" s="3381">
        <f>ROUND(IF(项目基本情况!B8="出让",SUMPRODUCT(PRODUCT(1+M11:M16)),SUMPRODUCT(PRODUCT(1+M11:M15))),4)</f>
        <v>1.0085</v>
      </c>
      <c r="U11" s="3381">
        <f>ROUND(IF(项目基本情况!B8="出让",SUMPRODUCT(PRODUCT(1+N11:N16)),SUMPRODUCT(PRODUCT(1+N11:N15))),4)</f>
        <v>1.0586</v>
      </c>
      <c r="V11" s="3381">
        <f>ROUND(IF(项目基本情况!B8="出让",SUMPRODUCT(PRODUCT(1+O11:O16)),SUMPRODUCT(PRODUCT(1+O11:O15))),4)</f>
        <v>1.0419</v>
      </c>
      <c r="W11" s="3381">
        <f t="shared" si="15"/>
        <v>1.0085</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2785</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1.0435000000000001</v>
      </c>
      <c r="S12" s="3381">
        <f>ROUND(IF(项目基本情况!B8="出让",SUMPRODUCT(PRODUCT(1+L12:L16)),SUMPRODUCT(PRODUCT(1+L12:L15))),4)</f>
        <v>1.0198</v>
      </c>
      <c r="T12" s="3381">
        <f>ROUND(IF(项目基本情况!B8="出让",SUMPRODUCT(PRODUCT(1+M12:M16)),SUMPRODUCT(PRODUCT(1+M12:M15))),4)</f>
        <v>1.0084</v>
      </c>
      <c r="U12" s="3381">
        <f>ROUND(IF(项目基本情况!B8="出让",SUMPRODUCT(PRODUCT(1+N12:N16)),SUMPRODUCT(PRODUCT(1+N12:N15))),4)</f>
        <v>1.0476000000000001</v>
      </c>
      <c r="V12" s="3381">
        <f>ROUND(IF(项目基本情况!B8="出让",SUMPRODUCT(PRODUCT(1+O12:O16)),SUMPRODUCT(PRODUCT(1+O12:O15))),4)</f>
        <v>1.0307999999999999</v>
      </c>
      <c r="W12" s="3381">
        <f t="shared" si="15"/>
        <v>1.0084</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2786</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1.0343</v>
      </c>
      <c r="S13" s="3381">
        <f>ROUND(IF(项目基本情况!B8="出让",SUMPRODUCT(PRODUCT(1+L13:L16)),SUMPRODUCT(PRODUCT(1+L13:L15))),4)</f>
        <v>1.0154000000000001</v>
      </c>
      <c r="T13" s="3381">
        <f>ROUND(IF(项目基本情况!B8="出让",SUMPRODUCT(PRODUCT(1+M13:M16)),SUMPRODUCT(PRODUCT(1+M13:M15))),4)</f>
        <v>1.0046999999999999</v>
      </c>
      <c r="U13" s="3381">
        <f>ROUND(IF(项目基本情况!B8="出让",SUMPRODUCT(PRODUCT(1+N13:N16)),SUMPRODUCT(PRODUCT(1+N13:N15))),4)</f>
        <v>1.0376000000000001</v>
      </c>
      <c r="V13" s="3381">
        <f>ROUND(IF(项目基本情况!B8="出让",SUMPRODUCT(PRODUCT(1+O13:O16)),SUMPRODUCT(PRODUCT(1+O13:O15))),4)</f>
        <v>1.0242</v>
      </c>
      <c r="W13" s="3381">
        <f t="shared" si="15"/>
        <v>1.0046999999999999</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2787</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1.0238</v>
      </c>
      <c r="S14" s="3381">
        <f>ROUND(IF(项目基本情况!B8="出让",SUMPRODUCT(PRODUCT(1+L14:L16)),SUMPRODUCT(PRODUCT(1+L14:L15))),4)</f>
        <v>1.0128999999999999</v>
      </c>
      <c r="T14" s="3381">
        <f>ROUND(IF(项目基本情况!B8="出让",SUMPRODUCT(PRODUCT(1+M14:M16)),SUMPRODUCT(PRODUCT(1+M14:M15))),4)</f>
        <v>1.004</v>
      </c>
      <c r="U14" s="3381">
        <f>ROUND(IF(项目基本情况!B8="出让",SUMPRODUCT(PRODUCT(1+N14:N16)),SUMPRODUCT(PRODUCT(1+N14:N15))),4)</f>
        <v>1.0256000000000001</v>
      </c>
      <c r="V14" s="3381">
        <f>ROUND(IF(项目基本情况!B8="出让",SUMPRODUCT(PRODUCT(1+O14:O16)),SUMPRODUCT(PRODUCT(1+O14:O15))),4)</f>
        <v>1.0185999999999999</v>
      </c>
      <c r="W14" s="3381">
        <f t="shared" si="15"/>
        <v>1.004</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2788</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1.0189999999999999</v>
      </c>
      <c r="S15" s="3381">
        <f>ROUND(IF(项目基本情况!B8="出让",SUMPRODUCT(PRODUCT(1+L15:L16)),SUMPRODUCT(PRODUCT(1+L15:L15))),4)</f>
        <v>1.0087999999999999</v>
      </c>
      <c r="T15" s="3381">
        <f>ROUND(IF(项目基本情况!B8="出让",SUMPRODUCT(PRODUCT(1+M15:M16)),SUMPRODUCT(PRODUCT(1+M15:M15))),4)</f>
        <v>1.0016</v>
      </c>
      <c r="U15" s="3381">
        <f>ROUND(IF(项目基本情况!B8="出让",SUMPRODUCT(PRODUCT(1+N15:N16)),SUMPRODUCT(PRODUCT(1+N15:N15))),4)</f>
        <v>1.0206999999999999</v>
      </c>
      <c r="V15" s="3381">
        <f>ROUND(IF(项目基本情况!B8="出让",SUMPRODUCT(PRODUCT(1+O15:O16)),SUMPRODUCT(PRODUCT(1+O15:O15))),4)</f>
        <v>1.0137</v>
      </c>
      <c r="W15" s="3381">
        <f t="shared" si="15"/>
        <v>1.0016</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2789</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3257</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2801</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2802</v>
      </c>
      <c r="C21" s="3349"/>
      <c r="D21" s="3349"/>
      <c r="E21" s="3349"/>
      <c r="F21" s="3349"/>
      <c r="G21" s="3349"/>
      <c r="H21" s="3349"/>
      <c r="I21" s="3349"/>
      <c r="J21" s="3350"/>
      <c r="K21" s="3349" t="s">
        <v>2794</v>
      </c>
      <c r="L21" s="3349"/>
      <c r="M21" s="3349"/>
      <c r="N21" s="3349"/>
      <c r="O21" s="3349"/>
      <c r="P21" s="3349"/>
      <c r="Q21" s="3350"/>
      <c r="R21" s="3966" t="s">
        <v>2810</v>
      </c>
      <c r="S21" s="3967"/>
      <c r="T21" s="3967"/>
      <c r="U21" s="3967"/>
      <c r="V21" s="3967"/>
      <c r="W21" s="3967"/>
      <c r="X21" s="3350"/>
      <c r="Y21" s="3966" t="s">
        <v>1925</v>
      </c>
      <c r="Z21" s="3967"/>
      <c r="AA21" s="3967"/>
      <c r="AB21" s="3967"/>
      <c r="AC21" s="3967"/>
      <c r="AD21" s="3967"/>
    </row>
    <row r="22" spans="1:30" ht="14.25" thickBot="1">
      <c r="A22" s="3341"/>
      <c r="B22" s="3351"/>
      <c r="C22" s="3352"/>
      <c r="D22" s="3353" t="s">
        <v>2796</v>
      </c>
      <c r="E22" s="3354" t="s">
        <v>2797</v>
      </c>
      <c r="F22" s="3354" t="s">
        <v>2798</v>
      </c>
      <c r="G22" s="3354" t="s">
        <v>1469</v>
      </c>
      <c r="H22" s="3354"/>
      <c r="I22" s="3354" t="s">
        <v>2740</v>
      </c>
      <c r="J22" s="3355"/>
      <c r="K22" s="3353" t="s">
        <v>2796</v>
      </c>
      <c r="L22" s="3354" t="s">
        <v>2797</v>
      </c>
      <c r="M22" s="3354" t="s">
        <v>2798</v>
      </c>
      <c r="N22" s="3354" t="s">
        <v>2799</v>
      </c>
      <c r="O22" s="3354"/>
      <c r="P22" s="3354" t="s">
        <v>2740</v>
      </c>
      <c r="Q22" s="3355"/>
      <c r="R22" s="3353" t="s">
        <v>2811</v>
      </c>
      <c r="S22" s="3354" t="s">
        <v>2812</v>
      </c>
      <c r="T22" s="3354" t="s">
        <v>2798</v>
      </c>
      <c r="U22" s="3354" t="s">
        <v>1469</v>
      </c>
      <c r="V22" s="3354"/>
      <c r="W22" s="3354" t="s">
        <v>2813</v>
      </c>
      <c r="X22" s="3355"/>
      <c r="Y22" s="3353" t="s">
        <v>2795</v>
      </c>
      <c r="Z22" s="3354" t="s">
        <v>2797</v>
      </c>
      <c r="AA22" s="3354" t="s">
        <v>2798</v>
      </c>
      <c r="AB22" s="3354" t="s">
        <v>1469</v>
      </c>
      <c r="AC22" s="3354"/>
      <c r="AD22" s="3354" t="s">
        <v>2816</v>
      </c>
    </row>
    <row r="23" spans="1:30">
      <c r="A23" s="3342" t="s">
        <v>2790</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3255</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1.0323</v>
      </c>
      <c r="T25" s="3381">
        <f>ROUND(IF(项目基本情况!$B$8="出让",SUMPRODUCT(PRODUCT(1+M25:M$36)),SUMPRODUCT(PRODUCT(1+M25:M$35))),4)</f>
        <v>1.0213000000000001</v>
      </c>
      <c r="U25" s="3381">
        <f>ROUND(IF(项目基本情况!$B$8="出让",SUMPRODUCT(PRODUCT(1+N25:N$36)),SUMPRODUCT(PRODUCT(1+N25:N$35))),4)</f>
        <v>1.0609</v>
      </c>
      <c r="V25" s="3381"/>
      <c r="W25" s="3381">
        <f>T25</f>
        <v>1.0213000000000001</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3256</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1.0323</v>
      </c>
      <c r="T26" s="3381">
        <f>ROUND(IF(项目基本情况!$B$8="出让",SUMPRODUCT(PRODUCT(1+M26:M$36)),SUMPRODUCT(PRODUCT(1+M26:M$35))),4)</f>
        <v>1.0213000000000001</v>
      </c>
      <c r="U26" s="3381">
        <f>ROUND(IF(项目基本情况!$B$8="出让",SUMPRODUCT(PRODUCT(1+N26:N$36)),SUMPRODUCT(PRODUCT(1+N26:N$35))),4)</f>
        <v>1.0609</v>
      </c>
      <c r="V26" s="3381"/>
      <c r="W26" s="3381">
        <f t="shared" ref="W26:W28" si="22">T26</f>
        <v>1.0213000000000001</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3254</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1.0323</v>
      </c>
      <c r="T27" s="3381">
        <f>ROUND(IF(项目基本情况!$B$8="出让",SUMPRODUCT(PRODUCT(1+M27:M$36)),SUMPRODUCT(PRODUCT(1+M27:M$35))),4)</f>
        <v>1.0213000000000001</v>
      </c>
      <c r="U27" s="3381">
        <f>ROUND(IF(项目基本情况!$B$8="出让",SUMPRODUCT(PRODUCT(1+N27:N$36)),SUMPRODUCT(PRODUCT(1+N27:N$35))),4)</f>
        <v>1.0609</v>
      </c>
      <c r="V27" s="3381"/>
      <c r="W27" s="3381">
        <f t="shared" si="22"/>
        <v>1.0213000000000001</v>
      </c>
      <c r="X27" s="3365"/>
      <c r="Y27" s="3390"/>
      <c r="Z27" s="3391">
        <f t="shared" ref="Z27:AB27" si="25">IF(E27=0,0,ROUND(AVERAGE(E27:E38)/100,4))</f>
        <v>0</v>
      </c>
      <c r="AA27" s="3391">
        <f t="shared" si="25"/>
        <v>0</v>
      </c>
      <c r="AB27" s="3391">
        <f t="shared" si="25"/>
        <v>0</v>
      </c>
      <c r="AC27" s="3392"/>
      <c r="AD27" s="3390">
        <f t="shared" si="24"/>
        <v>0</v>
      </c>
    </row>
    <row r="28" spans="1:30">
      <c r="A28" s="3344" t="s">
        <v>2784</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1.0323</v>
      </c>
      <c r="T28" s="3381">
        <f>ROUND(IF(项目基本情况!$B$8="出让",SUMPRODUCT(PRODUCT(1+M28:M$36)),SUMPRODUCT(PRODUCT(1+M28:M$35))),4)</f>
        <v>1.0213000000000001</v>
      </c>
      <c r="U28" s="3381">
        <f>ROUND(IF(项目基本情况!$B$8="出让",SUMPRODUCT(PRODUCT(1+N28:N$36)),SUMPRODUCT(PRODUCT(1+N28:N$35))),4)</f>
        <v>1.0609</v>
      </c>
      <c r="V28" s="3381"/>
      <c r="W28" s="3381">
        <f t="shared" si="22"/>
        <v>1.0213000000000001</v>
      </c>
      <c r="X28" s="3365"/>
      <c r="Y28" s="3390"/>
      <c r="Z28" s="3391">
        <f t="shared" ref="Z28:AB28" si="26">IF(E28=0,0,ROUND(AVERAGE(E28:E39)/100,4))</f>
        <v>0</v>
      </c>
      <c r="AA28" s="3391">
        <f t="shared" si="26"/>
        <v>0</v>
      </c>
      <c r="AB28" s="3391">
        <f t="shared" si="26"/>
        <v>0</v>
      </c>
      <c r="AC28" s="3392"/>
      <c r="AD28" s="3390">
        <f t="shared" si="24"/>
        <v>0</v>
      </c>
    </row>
    <row r="29" spans="1:30">
      <c r="A29" s="3345" t="s">
        <v>3252</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1.0323</v>
      </c>
      <c r="T29" s="3368">
        <f>ROUND(IF(项目基本情况!$B$8="出让",SUMPRODUCT(PRODUCT(1+M29:M$36)),SUMPRODUCT(PRODUCT(1+M29:M$35))),4)</f>
        <v>1.0213000000000001</v>
      </c>
      <c r="U29" s="3368">
        <f>ROUND(IF(项目基本情况!$B$8="出让",SUMPRODUCT(PRODUCT(1+N29:N$36)),SUMPRODUCT(PRODUCT(1+N29:N$35))),4)</f>
        <v>1.0609</v>
      </c>
      <c r="V29" s="3368"/>
      <c r="W29" s="3368">
        <f t="shared" ref="W29:W36" si="28">T29</f>
        <v>1.0213000000000001</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3253</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1.0277000000000001</v>
      </c>
      <c r="T30" s="3381">
        <f>ROUND(IF(项目基本情况!$B$8="出让",SUMPRODUCT(PRODUCT(1+M30:M$36)),SUMPRODUCT(PRODUCT(1+M30:M$35))),4)</f>
        <v>1.0192000000000001</v>
      </c>
      <c r="U30" s="3381">
        <f>ROUND(IF(项目基本情况!$B$8="出让",SUMPRODUCT(PRODUCT(1+N30:N$36)),SUMPRODUCT(PRODUCT(1+N30:N$35))),4)</f>
        <v>1.0569</v>
      </c>
      <c r="V30" s="3381"/>
      <c r="W30" s="3381">
        <f t="shared" si="28"/>
        <v>1.0192000000000001</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1.0246</v>
      </c>
      <c r="T31" s="3381">
        <f>ROUND(IF(项目基本情况!$B$8="出让",SUMPRODUCT(PRODUCT(1+M31:M$36)),SUMPRODUCT(PRODUCT(1+M31:M$35))),4)</f>
        <v>1.0163</v>
      </c>
      <c r="U31" s="3381">
        <f>ROUND(IF(项目基本情况!$B$8="出让",SUMPRODUCT(PRODUCT(1+N31:N$36)),SUMPRODUCT(PRODUCT(1+N31:N$35))),4)</f>
        <v>1.0482</v>
      </c>
      <c r="V31" s="3381"/>
      <c r="W31" s="3381">
        <f t="shared" si="28"/>
        <v>1.0163</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2785</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1.0258</v>
      </c>
      <c r="T32" s="3381">
        <f>ROUND(IF(项目基本情况!$B$8="出让",SUMPRODUCT(PRODUCT(1+M32:M$36)),SUMPRODUCT(PRODUCT(1+M32:M$35))),4)</f>
        <v>1.0176000000000001</v>
      </c>
      <c r="U32" s="3381">
        <f>ROUND(IF(项目基本情况!$B$8="出让",SUMPRODUCT(PRODUCT(1+N32:N$36)),SUMPRODUCT(PRODUCT(1+N32:N$35))),4)</f>
        <v>1.0427</v>
      </c>
      <c r="V32" s="3381"/>
      <c r="W32" s="3381">
        <f t="shared" si="28"/>
        <v>1.0176000000000001</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2786</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1.0196000000000001</v>
      </c>
      <c r="T33" s="3381">
        <f>ROUND(IF(项目基本情况!$B$8="出让",SUMPRODUCT(PRODUCT(1+M33:M$36)),SUMPRODUCT(PRODUCT(1+M33:M$35))),4)</f>
        <v>1.0130999999999999</v>
      </c>
      <c r="U33" s="3381">
        <f>ROUND(IF(项目基本情况!$B$8="出让",SUMPRODUCT(PRODUCT(1+N33:N$36)),SUMPRODUCT(PRODUCT(1+N33:N$35))),4)</f>
        <v>1.0371999999999999</v>
      </c>
      <c r="V33" s="3381"/>
      <c r="W33" s="3381">
        <f t="shared" si="28"/>
        <v>1.0130999999999999</v>
      </c>
      <c r="X33" s="3365"/>
      <c r="Y33" s="3390"/>
      <c r="Z33" s="3391">
        <f t="shared" si="29"/>
        <v>4.8999999999999998E-3</v>
      </c>
      <c r="AA33" s="3393">
        <f t="shared" si="29"/>
        <v>3.3E-3</v>
      </c>
      <c r="AB33" s="3390">
        <f t="shared" si="29"/>
        <v>9.1999999999999998E-3</v>
      </c>
      <c r="AC33" s="3392"/>
      <c r="AD33" s="3390">
        <f t="shared" si="29"/>
        <v>3.3E-3</v>
      </c>
    </row>
    <row r="34" spans="1:30">
      <c r="A34" s="3344" t="s">
        <v>2787</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1.0138</v>
      </c>
      <c r="T34" s="3381">
        <f>ROUND(IF(项目基本情况!$B$8="出让",SUMPRODUCT(PRODUCT(1+M34:M$36)),SUMPRODUCT(PRODUCT(1+M34:M$35))),4)</f>
        <v>1.0122</v>
      </c>
      <c r="U34" s="3381">
        <f>ROUND(IF(项目基本情况!$B$8="出让",SUMPRODUCT(PRODUCT(1+N34:N$36)),SUMPRODUCT(PRODUCT(1+N34:N$35))),4)</f>
        <v>1.0302</v>
      </c>
      <c r="V34" s="3381"/>
      <c r="W34" s="3381">
        <f t="shared" si="28"/>
        <v>1.0122</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2791</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1.0089999999999999</v>
      </c>
      <c r="T35" s="3381">
        <f>ROUND(IF(项目基本情况!$B$8="出让",SUMPRODUCT(PRODUCT(1+M35:M$36)),SUMPRODUCT(PRODUCT(1+M35:M$35))),4)</f>
        <v>1.0094000000000001</v>
      </c>
      <c r="U35" s="3381">
        <f>ROUND(IF(项目基本情况!$B$8="出让",SUMPRODUCT(PRODUCT(1+N35:N$36)),SUMPRODUCT(PRODUCT(1+N35:N$35))),4)</f>
        <v>1.0208999999999999</v>
      </c>
      <c r="V35" s="3381"/>
      <c r="W35" s="3381">
        <f t="shared" si="28"/>
        <v>1.0094000000000001</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2792</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-2</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9" t="s">
        <v>1807</v>
      </c>
      <c r="C8" s="1612">
        <f ca="1">ROUND(F8*F10*F9*(1-F11)/10000,0)</f>
        <v>0</v>
      </c>
      <c r="D8" s="1609" t="s">
        <v>1817</v>
      </c>
      <c r="E8" s="59" t="s">
        <v>585</v>
      </c>
      <c r="F8" s="751">
        <f ca="1">INDIRECT("'数据-取费表'!u"&amp;$G$1)</f>
        <v>0</v>
      </c>
      <c r="G8" s="1405"/>
      <c r="H8" s="2151" t="s">
        <v>1353</v>
      </c>
      <c r="I8" s="3969" t="s">
        <v>1807</v>
      </c>
      <c r="J8" s="749">
        <f ca="1">ROUND(M8*M10*M9*(1-M11)/10000,0)</f>
        <v>0</v>
      </c>
      <c r="K8" s="332" t="s">
        <v>1817</v>
      </c>
      <c r="L8" s="750" t="s">
        <v>1267</v>
      </c>
      <c r="M8" s="751">
        <f ca="1">INDIRECT("'数据-取费表'!z"&amp;$G$1)</f>
        <v>0</v>
      </c>
    </row>
    <row r="9" spans="1:25" ht="18" customHeight="1">
      <c r="A9" s="2147"/>
      <c r="B9" s="3970"/>
      <c r="C9" s="1613"/>
      <c r="D9" s="1610"/>
      <c r="E9" s="59" t="s">
        <v>586</v>
      </c>
      <c r="F9" s="751">
        <f ca="1">IF(INDIRECT("'数据-取费表'!ah"&amp;$G$1)="",INDIRECT("'数据-取费表'!k"&amp;$G$1),INDIRECT("'数据-取费表'!ah"&amp;$G$1))</f>
        <v>0</v>
      </c>
      <c r="G9" s="1405"/>
      <c r="H9" s="2136"/>
      <c r="I9" s="3970"/>
      <c r="J9" s="754"/>
      <c r="K9" s="755"/>
      <c r="L9" s="750" t="s">
        <v>1268</v>
      </c>
      <c r="M9" s="751">
        <f ca="1">F9</f>
        <v>0</v>
      </c>
    </row>
    <row r="10" spans="1:25" ht="18" customHeight="1">
      <c r="A10" s="2140"/>
      <c r="B10" s="3971"/>
      <c r="C10" s="1613"/>
      <c r="D10" s="1610"/>
      <c r="E10" s="59" t="s">
        <v>587</v>
      </c>
      <c r="F10" s="751">
        <f ca="1">INDIRECT("'数据-取费表'!ai"&amp;$G$1)</f>
        <v>0</v>
      </c>
      <c r="G10" s="1405"/>
      <c r="H10" s="2136"/>
      <c r="I10" s="3971"/>
      <c r="J10" s="754"/>
      <c r="K10" s="755"/>
      <c r="L10" s="750" t="s">
        <v>1269</v>
      </c>
      <c r="M10" s="751">
        <f ca="1">INDIRECT("'数据-取费表'!ai"&amp;$G$1)</f>
        <v>0</v>
      </c>
    </row>
    <row r="11" spans="1:25" ht="18" customHeight="1">
      <c r="A11" s="752"/>
      <c r="B11" s="3972"/>
      <c r="C11" s="1613"/>
      <c r="D11" s="1610"/>
      <c r="E11" s="59" t="s">
        <v>588</v>
      </c>
      <c r="F11" s="760">
        <f ca="1">INDIRECT("'数据-取费表'!w"&amp;$G$1)</f>
        <v>0</v>
      </c>
      <c r="G11" s="1405"/>
      <c r="H11" s="2152"/>
      <c r="I11" s="397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4.7500000000000001E-2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68"/>
      <c r="J36" s="1803"/>
      <c r="K36" s="1804"/>
      <c r="L36" s="1803"/>
      <c r="M36" s="1803"/>
    </row>
    <row r="37" spans="1:18" ht="18" customHeight="1">
      <c r="A37" s="780"/>
      <c r="B37" s="759"/>
      <c r="C37" s="67"/>
      <c r="D37" s="781"/>
      <c r="E37" s="750" t="s">
        <v>621</v>
      </c>
      <c r="F37" s="751">
        <f ca="1">INDIRECT("'数据-取费表'!r"&amp;$G$1)</f>
        <v>0</v>
      </c>
      <c r="G37" s="1786"/>
      <c r="H37" s="1789"/>
      <c r="I37" s="396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-2</v>
      </c>
      <c r="K54" s="3973"/>
      <c r="L54" s="3974"/>
      <c r="O54" s="2093" t="s">
        <v>1742</v>
      </c>
      <c r="P54" s="2091" t="s">
        <v>1743</v>
      </c>
      <c r="Q54" s="2092">
        <f ca="1">J54</f>
        <v>-2</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f ca="1">J53</f>
        <v>70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#DIV/0!</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0</v>
      </c>
      <c r="D5" s="2143" t="s">
        <v>1805</v>
      </c>
      <c r="E5" s="2137"/>
      <c r="F5" s="2138"/>
      <c r="G5" s="1786"/>
      <c r="H5" s="747">
        <v>1</v>
      </c>
      <c r="I5" s="748" t="s">
        <v>1802</v>
      </c>
      <c r="J5" s="53">
        <f ca="1">J6+J10+J12</f>
        <v>0</v>
      </c>
      <c r="K5" s="2143" t="s">
        <v>1805</v>
      </c>
      <c r="L5" s="2137"/>
      <c r="M5" s="2138"/>
    </row>
    <row r="6" spans="1:33" ht="18" customHeight="1">
      <c r="A6" s="1617" t="s">
        <v>1353</v>
      </c>
      <c r="B6" s="3969" t="s">
        <v>1807</v>
      </c>
      <c r="C6" s="749">
        <f ca="1">ROUND(F6*F8*F7*(1-F9)/10000,0)</f>
        <v>0</v>
      </c>
      <c r="D6" s="2144" t="s">
        <v>1806</v>
      </c>
      <c r="E6" s="750" t="s">
        <v>1267</v>
      </c>
      <c r="F6" s="751">
        <f ca="1">INDIRECT("'数据-取费表'!u"&amp;$G$1)</f>
        <v>0</v>
      </c>
      <c r="G6" s="1786"/>
      <c r="H6" s="2151" t="s">
        <v>1812</v>
      </c>
      <c r="I6" s="3969" t="s">
        <v>1807</v>
      </c>
      <c r="J6" s="749">
        <f ca="1">ROUND(M6*M8*M7*(1-M9)/10000,0)</f>
        <v>0</v>
      </c>
      <c r="K6" s="332" t="s">
        <v>1266</v>
      </c>
      <c r="L6" s="750" t="s">
        <v>1267</v>
      </c>
      <c r="M6" s="751">
        <f ca="1">INDIRECT("'数据-取费表'!z"&amp;$G$1)</f>
        <v>0</v>
      </c>
    </row>
    <row r="7" spans="1:33" ht="18" customHeight="1">
      <c r="A7" s="2147"/>
      <c r="B7" s="3970"/>
      <c r="C7" s="754"/>
      <c r="D7" s="755"/>
      <c r="E7" s="750" t="s">
        <v>1268</v>
      </c>
      <c r="F7" s="751">
        <f ca="1">IF(INDIRECT("'数据-取费表'!ah"&amp;$G$1)="",INDIRECT("'数据-取费表'!k"&amp;$G$1),INDIRECT("'数据-取费表'!ah"&amp;$G$1))</f>
        <v>0</v>
      </c>
      <c r="G7" s="1786"/>
      <c r="H7" s="2136"/>
      <c r="I7" s="3970"/>
      <c r="J7" s="754"/>
      <c r="K7" s="755"/>
      <c r="L7" s="750" t="s">
        <v>1268</v>
      </c>
      <c r="M7" s="751">
        <f ca="1">F7</f>
        <v>0</v>
      </c>
    </row>
    <row r="8" spans="1:33" ht="18" customHeight="1">
      <c r="A8" s="2140"/>
      <c r="B8" s="3971"/>
      <c r="C8" s="754"/>
      <c r="D8" s="755"/>
      <c r="E8" s="750" t="s">
        <v>1269</v>
      </c>
      <c r="F8" s="751">
        <f ca="1">INDIRECT("'数据-取费表'!ai"&amp;$G$1)</f>
        <v>12</v>
      </c>
      <c r="G8" s="1786"/>
      <c r="H8" s="2136"/>
      <c r="I8" s="3971"/>
      <c r="J8" s="754"/>
      <c r="K8" s="755"/>
      <c r="L8" s="750" t="s">
        <v>1269</v>
      </c>
      <c r="M8" s="751">
        <f ca="1">INDIRECT("'数据-取费表'!ai"&amp;$G$1)</f>
        <v>12</v>
      </c>
    </row>
    <row r="9" spans="1:33" ht="18" customHeight="1">
      <c r="A9" s="752"/>
      <c r="B9" s="3972"/>
      <c r="C9" s="754"/>
      <c r="D9" s="755"/>
      <c r="E9" s="750" t="s">
        <v>1270</v>
      </c>
      <c r="F9" s="760">
        <f ca="1">INDIRECT("'数据-取费表'!w"&amp;$G$1)</f>
        <v>0</v>
      </c>
      <c r="G9" s="1786"/>
      <c r="H9" s="2152"/>
      <c r="I9" s="3971"/>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0</v>
      </c>
      <c r="D13" s="1621" t="s">
        <v>1654</v>
      </c>
      <c r="E13" s="1621" t="s">
        <v>1273</v>
      </c>
      <c r="F13" s="2154">
        <f ca="1">INDIRECT("'数据-取费表'!y"&amp;$G$1)</f>
        <v>0</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0</v>
      </c>
      <c r="D14" s="1734" t="s">
        <v>1274</v>
      </c>
      <c r="E14" s="1735"/>
      <c r="F14" s="771"/>
      <c r="G14" s="1786"/>
      <c r="H14" s="1454" t="s">
        <v>1359</v>
      </c>
      <c r="I14" s="1950" t="s">
        <v>2103</v>
      </c>
      <c r="J14" s="51">
        <f ca="1">C29</f>
        <v>0</v>
      </c>
      <c r="K14" s="24"/>
      <c r="L14" s="767"/>
      <c r="M14" s="768"/>
    </row>
    <row r="15" spans="1:33" s="1788" customFormat="1" ht="18" customHeight="1" thickBot="1">
      <c r="A15" s="1453" t="s">
        <v>1410</v>
      </c>
      <c r="B15" s="750" t="s">
        <v>595</v>
      </c>
      <c r="C15" s="51">
        <f ca="1">ROUND(C14*F15,0)</f>
        <v>0</v>
      </c>
      <c r="D15" s="772" t="s">
        <v>1275</v>
      </c>
      <c r="E15" s="772" t="s">
        <v>1276</v>
      </c>
      <c r="F15" s="773">
        <f>'数据-取费表'!B33</f>
        <v>0.05</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0.1</v>
      </c>
      <c r="G16" s="1786"/>
      <c r="H16" s="1616" t="s">
        <v>1277</v>
      </c>
      <c r="I16" s="1614" t="s">
        <v>1278</v>
      </c>
      <c r="J16" s="758" t="e">
        <f ca="1">ROUND(J17+J22+J23+J24,0)</f>
        <v>#DIV/0!</v>
      </c>
      <c r="K16" s="1608" t="s">
        <v>1279</v>
      </c>
      <c r="L16" s="2133"/>
      <c r="M16" s="2138"/>
    </row>
    <row r="17" spans="1:33" s="1788" customFormat="1" ht="18" customHeight="1">
      <c r="A17" s="1453" t="s">
        <v>1412</v>
      </c>
      <c r="B17" s="750" t="s">
        <v>601</v>
      </c>
      <c r="C17" s="51">
        <f ca="1">ROUND(F17*(F43+INDIRECT("'数据-取费表'!S"&amp;$G$1))/10000,0)</f>
        <v>0</v>
      </c>
      <c r="D17" s="750" t="s">
        <v>1280</v>
      </c>
      <c r="E17" s="750" t="s">
        <v>1281</v>
      </c>
      <c r="F17" s="54">
        <f>'数据-取费表'!B35</f>
        <v>200</v>
      </c>
      <c r="G17" s="3003"/>
      <c r="H17" s="1454" t="s">
        <v>1359</v>
      </c>
      <c r="I17" s="750" t="s">
        <v>604</v>
      </c>
      <c r="J17" s="2762" t="e">
        <f ca="1">ROUND(IF(AND(项目基本情况!B11="自然人",项目基本情况!B10="北京市"),J6*M17/(1+'数据-取费表'!C42),J18+J19+J20),2)</f>
        <v>#DIV/0!</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0</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0</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0</v>
      </c>
      <c r="D20" s="777" t="s">
        <v>1288</v>
      </c>
      <c r="E20" s="750" t="s">
        <v>1276</v>
      </c>
      <c r="F20" s="775">
        <f>'数据-取费表'!B37</f>
        <v>0.02</v>
      </c>
      <c r="G20" s="3003"/>
      <c r="H20" s="1456" t="s">
        <v>1405</v>
      </c>
      <c r="I20" s="332" t="s">
        <v>1289</v>
      </c>
      <c r="J20" s="52" t="e">
        <f ca="1">ROUND(M20*M21/10000,2)</f>
        <v>#DIV/0!</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#DIV/0!</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0</v>
      </c>
      <c r="K22" s="2131" t="s">
        <v>1298</v>
      </c>
      <c r="L22" s="750" t="s">
        <v>1276</v>
      </c>
      <c r="M22" s="782">
        <f ca="1">INDIRECT("'数据-取费表'!Ak"&amp;$G$1)</f>
        <v>0.02</v>
      </c>
    </row>
    <row r="23" spans="1:33" s="1788" customFormat="1" ht="18" customHeight="1">
      <c r="A23" s="1453" t="s">
        <v>1360</v>
      </c>
      <c r="B23" s="750" t="s">
        <v>1818</v>
      </c>
      <c r="C23" s="51">
        <f ca="1">ROUND(IF('数据-取费表'!B22&lt;=1,(C19+C20)*F24*F23/2,(C19+C20)*(POWER((1+F24),F23/2)-1)),0)</f>
        <v>0</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2E-3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4.7500000000000001E-2</v>
      </c>
      <c r="G24" s="3003"/>
      <c r="H24" s="2169" t="s">
        <v>1416</v>
      </c>
      <c r="I24" s="2164" t="s">
        <v>613</v>
      </c>
      <c r="J24" s="2162">
        <f ca="1">ROUND(J5*M24,2)</f>
        <v>0</v>
      </c>
      <c r="K24" s="2163" t="s">
        <v>1303</v>
      </c>
      <c r="L24" s="2164" t="s">
        <v>1276</v>
      </c>
      <c r="M24" s="2160">
        <f ca="1">INDIRECT("'数据-取费表'!Am"&amp;$G$1)</f>
        <v>0.02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#DIV/0!</v>
      </c>
      <c r="K25" s="2166" t="s">
        <v>1306</v>
      </c>
      <c r="L25" s="2167"/>
      <c r="M25" s="2168"/>
    </row>
    <row r="26" spans="1:33" ht="18" customHeight="1">
      <c r="A26" s="1453" t="s">
        <v>1360</v>
      </c>
      <c r="B26" s="750" t="s">
        <v>1785</v>
      </c>
      <c r="C26" s="51">
        <f ca="1">ROUND((C19+C20)*F26,0)</f>
        <v>0</v>
      </c>
      <c r="D26" s="777" t="s">
        <v>1307</v>
      </c>
      <c r="E26" s="761" t="s">
        <v>1308</v>
      </c>
      <c r="F26" s="760">
        <f ca="1">INDIRECT("'数据-取费表'!q"&amp;$G$1)</f>
        <v>0.25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5.0000000000000001E-3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0</v>
      </c>
      <c r="D29" s="2163"/>
      <c r="E29" s="2164"/>
      <c r="F29" s="2165"/>
      <c r="G29" s="3003"/>
      <c r="H29" s="788" t="s">
        <v>1316</v>
      </c>
      <c r="I29" s="789" t="s">
        <v>1317</v>
      </c>
      <c r="J29" s="790">
        <f ca="1">ROUND(J26/(1+F40)^F41,0)</f>
        <v>0</v>
      </c>
      <c r="K29" s="791" t="s">
        <v>1318</v>
      </c>
      <c r="L29" s="792"/>
      <c r="M29" s="793">
        <f ca="1">INDIRECT("'数据-取费表'!k"&amp;$G$1)</f>
        <v>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#DIV/0!</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#DIV/0!</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0</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0</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#DIV/0!</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#DIV/0!</v>
      </c>
      <c r="G35" s="1786"/>
      <c r="H35" s="1789"/>
      <c r="I35" s="802" t="s">
        <v>1343</v>
      </c>
      <c r="J35" s="803">
        <f ca="1">ROUND(C13*J36,0)</f>
        <v>0</v>
      </c>
      <c r="K35" s="1802"/>
      <c r="L35" s="1801"/>
      <c r="M35" s="1801"/>
    </row>
    <row r="36" spans="1:18" ht="18" customHeight="1">
      <c r="A36" s="1454" t="s">
        <v>1414</v>
      </c>
      <c r="B36" s="750" t="s">
        <v>1331</v>
      </c>
      <c r="C36" s="51">
        <f ca="1">ROUND(C29*F36,2)</f>
        <v>0</v>
      </c>
      <c r="D36" s="1732" t="s">
        <v>1332</v>
      </c>
      <c r="E36" s="750" t="s">
        <v>1325</v>
      </c>
      <c r="F36" s="782">
        <f ca="1">INDIRECT("'数据-取费表'!Ak"&amp;$G$1)</f>
        <v>0.02</v>
      </c>
      <c r="G36" s="1786"/>
      <c r="H36" s="1801"/>
      <c r="I36" s="804" t="s">
        <v>1344</v>
      </c>
      <c r="J36" s="805">
        <f ca="1">INDIRECT("'数据-取费表'!j"&amp;$G$1)</f>
        <v>0</v>
      </c>
      <c r="K36" s="1805"/>
      <c r="L36" s="1801"/>
      <c r="M36" s="1801"/>
    </row>
    <row r="37" spans="1:18" ht="18" customHeight="1">
      <c r="A37" s="1454" t="s">
        <v>1415</v>
      </c>
      <c r="B37" s="750" t="s">
        <v>626</v>
      </c>
      <c r="C37" s="51">
        <f ca="1">ROUND(C13*F37,2)</f>
        <v>0</v>
      </c>
      <c r="D37" s="1732" t="s">
        <v>1333</v>
      </c>
      <c r="E37" s="750" t="s">
        <v>1325</v>
      </c>
      <c r="F37" s="783">
        <f ca="1">INDIRECT("'数据-取费表'!Al"&amp;$G$1)</f>
        <v>2E-3</v>
      </c>
      <c r="G37" s="1786"/>
      <c r="H37" s="1801"/>
      <c r="I37" s="806" t="s">
        <v>1345</v>
      </c>
      <c r="J37" s="807"/>
      <c r="K37" s="1805"/>
      <c r="L37" s="1801"/>
      <c r="M37" s="1801"/>
    </row>
    <row r="38" spans="1:18" ht="18" customHeight="1" thickBot="1">
      <c r="A38" s="2169" t="s">
        <v>1416</v>
      </c>
      <c r="B38" s="2164" t="s">
        <v>613</v>
      </c>
      <c r="C38" s="2162">
        <f ca="1">ROUND(C5*F38,2)</f>
        <v>0</v>
      </c>
      <c r="D38" s="2163" t="s">
        <v>1334</v>
      </c>
      <c r="E38" s="2164" t="s">
        <v>1325</v>
      </c>
      <c r="F38" s="2160">
        <f ca="1">INDIRECT("'数据-取费表'!Am"&amp;$G$1)</f>
        <v>0.02</v>
      </c>
      <c r="G38" s="1786"/>
      <c r="H38" s="1801"/>
      <c r="I38" s="808" t="s">
        <v>1346</v>
      </c>
      <c r="J38" s="809"/>
      <c r="K38" s="1806"/>
      <c r="L38" s="1801"/>
      <c r="M38" s="1801"/>
    </row>
    <row r="39" spans="1:18" ht="24.6" customHeight="1" thickTop="1">
      <c r="A39" s="1616" t="s">
        <v>1419</v>
      </c>
      <c r="B39" s="2484" t="s">
        <v>2099</v>
      </c>
      <c r="C39" s="758" t="e">
        <f ca="1">C5-C30</f>
        <v>#DIV/0!</v>
      </c>
      <c r="D39" s="2166" t="s">
        <v>1335</v>
      </c>
      <c r="E39" s="2167"/>
      <c r="F39" s="2168"/>
      <c r="G39" s="1786"/>
      <c r="H39" s="1801"/>
      <c r="I39" s="802" t="s">
        <v>1347</v>
      </c>
      <c r="J39" s="810" t="e">
        <f ca="1">ROUND(J35/C39,3)</f>
        <v>#DIV/0!</v>
      </c>
      <c r="K39" s="1806"/>
      <c r="L39" s="1801"/>
      <c r="M39" s="1801"/>
    </row>
    <row r="40" spans="1:18" ht="18" customHeight="1">
      <c r="A40" s="747" t="s">
        <v>1420</v>
      </c>
      <c r="B40" s="1951" t="s">
        <v>1658</v>
      </c>
      <c r="C40" s="749" t="e">
        <f ca="1">ROUND(C39*(1-((1+F42)/(1+F40))^F41)/(F40-F42),0)</f>
        <v>#DIV/0!</v>
      </c>
      <c r="D40" s="779" t="s">
        <v>1336</v>
      </c>
      <c r="E40" s="750" t="s">
        <v>1773</v>
      </c>
      <c r="F40" s="760">
        <f ca="1">INDIRECT("'数据-取费表'!I"&amp;$G$1)</f>
        <v>0.06</v>
      </c>
      <c r="G40" s="1786"/>
      <c r="H40" s="1786"/>
      <c r="I40" s="802" t="s">
        <v>1348</v>
      </c>
      <c r="J40" s="810" t="e">
        <f ca="1">1-J39</f>
        <v>#DIV/0!</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t="e">
        <f ca="1">ROUND(C13/C40,3)</f>
        <v>#DIV/0!</v>
      </c>
      <c r="K42" s="1805"/>
      <c r="L42" s="1741"/>
      <c r="M42" s="1741"/>
    </row>
    <row r="43" spans="1:18" ht="18" customHeight="1" thickBot="1">
      <c r="A43" s="788" t="s">
        <v>1316</v>
      </c>
      <c r="B43" s="789" t="s">
        <v>1339</v>
      </c>
      <c r="C43" s="790" t="e">
        <f ca="1">ROUND(C40*10000/F43,0)</f>
        <v>#DIV/0!</v>
      </c>
      <c r="D43" s="791" t="s">
        <v>1340</v>
      </c>
      <c r="E43" s="792" t="s">
        <v>1341</v>
      </c>
      <c r="F43" s="793">
        <f ca="1">INDIRECT("'数据-取费表'!k"&amp;$G$1)</f>
        <v>0</v>
      </c>
      <c r="G43" s="1786"/>
      <c r="H43" s="1741"/>
      <c r="I43" s="812" t="s">
        <v>1351</v>
      </c>
      <c r="J43" s="813" t="e">
        <f ca="1">1-J42</f>
        <v>#DIV/0!</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#DIV/0!</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c r="K47" s="2563" t="s">
        <v>1703</v>
      </c>
      <c r="L47" s="2567">
        <f ca="1">INDIRECT("'数据-取费表'!d"&amp;$G$1)</f>
        <v>70</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c r="K48" s="2564" t="s">
        <v>1705</v>
      </c>
      <c r="L48" s="1664">
        <f ca="1">INDIRECT("'数据-取费表'!f"&amp;$G$1)</f>
        <v>70</v>
      </c>
      <c r="M48" s="3005"/>
      <c r="O48" s="2090" t="s">
        <v>1733</v>
      </c>
      <c r="P48" s="2091" t="s">
        <v>1759</v>
      </c>
      <c r="Q48" s="2092" t="e">
        <f ca="1">C40+J29</f>
        <v>#DIV/0!</v>
      </c>
      <c r="R48" s="2091" t="s">
        <v>1734</v>
      </c>
    </row>
    <row r="49" spans="1:18" s="1783" customFormat="1" ht="18" customHeight="1" thickBot="1">
      <c r="A49" s="752"/>
      <c r="B49" s="753"/>
      <c r="C49" s="754"/>
      <c r="D49" s="755"/>
      <c r="E49" s="750" t="s">
        <v>1268</v>
      </c>
      <c r="F49" s="751">
        <f ca="1">F7</f>
        <v>0</v>
      </c>
      <c r="G49" s="1813"/>
      <c r="H49" s="1816"/>
      <c r="I49" s="2554" t="s">
        <v>1700</v>
      </c>
      <c r="J49" s="2075"/>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12</v>
      </c>
      <c r="G50" s="1818"/>
      <c r="H50" s="1816"/>
      <c r="I50" s="2554" t="s">
        <v>1701</v>
      </c>
      <c r="J50" s="2561">
        <f>SUMPRODUCT((I63:I65=J47)*(J62:L62=J48)*(J63:L65))</f>
        <v>0</v>
      </c>
      <c r="K50" s="2565" t="s">
        <v>1707</v>
      </c>
      <c r="L50" s="2076"/>
      <c r="M50" s="3005"/>
      <c r="O50" s="2093" t="s">
        <v>1737</v>
      </c>
      <c r="P50" s="2091" t="s">
        <v>1761</v>
      </c>
      <c r="Q50" s="2092">
        <f ca="1">C29</f>
        <v>0</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#DIV/0!</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70</v>
      </c>
      <c r="K53" s="3975" t="s">
        <v>2226</v>
      </c>
      <c r="L53" s="3976"/>
      <c r="M53" s="3005"/>
      <c r="O53" s="2093" t="s">
        <v>1742</v>
      </c>
      <c r="P53" s="2091" t="s">
        <v>1743</v>
      </c>
      <c r="Q53" s="2092">
        <f ca="1">J53</f>
        <v>70</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#DIV/0!</v>
      </c>
      <c r="R54" s="2095" t="s">
        <v>1746</v>
      </c>
    </row>
    <row r="55" spans="1:18" s="1783" customFormat="1" ht="18" customHeight="1" thickTop="1" thickBot="1">
      <c r="A55" s="763">
        <v>2</v>
      </c>
      <c r="B55" s="764" t="s">
        <v>592</v>
      </c>
      <c r="C55" s="765">
        <f ca="1">C13</f>
        <v>0</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0</v>
      </c>
      <c r="D56" s="2245"/>
      <c r="E56" s="750"/>
      <c r="F56" s="775"/>
      <c r="I56" s="2573" t="s">
        <v>1711</v>
      </c>
      <c r="J56" s="2583"/>
      <c r="K56" s="2554" t="s">
        <v>1716</v>
      </c>
      <c r="L56" s="1664">
        <f ca="1">IF(L48&lt;J51,"——",L48-J51)</f>
        <v>70</v>
      </c>
      <c r="M56" s="3005"/>
      <c r="O56" s="2087" t="s">
        <v>1729</v>
      </c>
      <c r="P56" s="2088" t="s">
        <v>1730</v>
      </c>
      <c r="Q56" s="2089" t="s">
        <v>1731</v>
      </c>
      <c r="R56" s="2088" t="s">
        <v>1732</v>
      </c>
    </row>
    <row r="57" spans="1:18" s="1783" customFormat="1" ht="28.5" customHeight="1" thickBot="1">
      <c r="A57" s="763" t="s">
        <v>1277</v>
      </c>
      <c r="B57" s="764" t="s">
        <v>599</v>
      </c>
      <c r="C57" s="765" t="e">
        <f ca="1">ROUND(C58+C63+C64+C65,0)</f>
        <v>#DIV/0!</v>
      </c>
      <c r="D57" s="24" t="s">
        <v>1279</v>
      </c>
      <c r="E57" s="2246"/>
      <c r="F57" s="54"/>
      <c r="I57" s="2574" t="s">
        <v>1712</v>
      </c>
      <c r="J57" s="2575" t="str">
        <f ca="1">IF(OR(M47="住宅",J51&lt;L48,J56="是"),"——",J51-L48)</f>
        <v>——</v>
      </c>
      <c r="K57" s="2554" t="s">
        <v>1717</v>
      </c>
      <c r="L57" s="1664" t="e">
        <f ca="1">IF(L48&lt;J51,"——",IF(L55="比较法",L49,IF(L55="基准地价",L50,L51)))</f>
        <v>#DIV/0!</v>
      </c>
      <c r="M57" s="3005"/>
      <c r="O57" s="2090" t="s">
        <v>1733</v>
      </c>
      <c r="P57" s="2091" t="s">
        <v>1763</v>
      </c>
      <c r="Q57" s="2092" t="e">
        <f ca="1">C40+J29</f>
        <v>#DIV/0!</v>
      </c>
      <c r="R57" s="2091" t="s">
        <v>1734</v>
      </c>
    </row>
    <row r="58" spans="1:18" s="1783" customFormat="1" ht="28.5" customHeight="1" thickBot="1">
      <c r="A58" s="1454" t="s">
        <v>1353</v>
      </c>
      <c r="B58" s="750" t="s">
        <v>604</v>
      </c>
      <c r="C58" s="2762" t="e">
        <f ca="1">ROUND(IF(AND(项目基本情况!B11="自然人",项目基本情况!B10="北京市"),C48*F58/(1+'数据-取费表'!C42),C59+C60+C61),2)</f>
        <v>#DIV/0!</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t="e">
        <f ca="1">ROUND(F61*F62/10000,2)</f>
        <v>#DIV/0!</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t="e">
        <f t="shared" ca="1" si="0"/>
        <v>#DIV/0!</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0</v>
      </c>
      <c r="D63" s="2245" t="s">
        <v>1332</v>
      </c>
      <c r="E63" s="750" t="s">
        <v>1276</v>
      </c>
      <c r="F63" s="782">
        <f t="shared" ca="1" si="0"/>
        <v>0.02</v>
      </c>
      <c r="I63" s="2579" t="s">
        <v>1724</v>
      </c>
      <c r="J63" s="2580">
        <v>70</v>
      </c>
      <c r="K63" s="2580">
        <v>50</v>
      </c>
      <c r="L63" s="2580">
        <v>80</v>
      </c>
      <c r="M63" s="2582">
        <v>0.02</v>
      </c>
      <c r="O63" s="2090" t="s">
        <v>1745</v>
      </c>
      <c r="P63" s="2091" t="s">
        <v>1762</v>
      </c>
      <c r="Q63" s="2092" t="e">
        <f ca="1">Q57+Q58</f>
        <v>#DIV/0!</v>
      </c>
      <c r="R63" s="2095" t="s">
        <v>1746</v>
      </c>
    </row>
    <row r="64" spans="1:18" s="1783" customFormat="1" ht="16.5" thickBot="1">
      <c r="A64" s="1454" t="s">
        <v>1415</v>
      </c>
      <c r="B64" s="750" t="s">
        <v>626</v>
      </c>
      <c r="C64" s="51">
        <f ca="1">ROUND(C55*F64,2)</f>
        <v>0</v>
      </c>
      <c r="D64" s="2245" t="s">
        <v>627</v>
      </c>
      <c r="E64" s="750" t="s">
        <v>1276</v>
      </c>
      <c r="F64" s="783">
        <f t="shared" ca="1" si="0"/>
        <v>2E-3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#DIV/0!</v>
      </c>
      <c r="D66" s="2244" t="s">
        <v>647</v>
      </c>
      <c r="E66" s="2243"/>
      <c r="F66" s="785"/>
      <c r="K66" s="1809"/>
      <c r="O66" s="2090" t="s">
        <v>1733</v>
      </c>
      <c r="P66" s="2091" t="s">
        <v>1763</v>
      </c>
      <c r="Q66" s="2092" t="e">
        <f ca="1">C40+J29</f>
        <v>#DIV/0!</v>
      </c>
      <c r="R66" s="2091" t="s">
        <v>1734</v>
      </c>
    </row>
    <row r="67" spans="1:18" s="1783" customFormat="1" ht="20.25" thickBot="1">
      <c r="A67" s="747" t="s">
        <v>1309</v>
      </c>
      <c r="B67" s="1951" t="s">
        <v>1658</v>
      </c>
      <c r="C67" s="749" t="e">
        <f ca="1">ROUND(C66*(1-((1+F69)/(1+F67))^F68)/(F67-F69),0)</f>
        <v>#DIV/0!</v>
      </c>
      <c r="D67" s="779" t="s">
        <v>651</v>
      </c>
      <c r="E67" s="750" t="s">
        <v>652</v>
      </c>
      <c r="F67" s="760">
        <f ca="1">F40</f>
        <v>0.06</v>
      </c>
      <c r="K67" s="1809"/>
      <c r="O67" s="2090" t="s">
        <v>1735</v>
      </c>
      <c r="P67" s="2091" t="s">
        <v>1766</v>
      </c>
      <c r="Q67" s="2092">
        <f ca="1">L60</f>
        <v>0</v>
      </c>
      <c r="R67" s="2095" t="s">
        <v>1768</v>
      </c>
    </row>
    <row r="68" spans="1:18" ht="21.75" thickBot="1">
      <c r="A68" s="752"/>
      <c r="B68" s="753"/>
      <c r="C68" s="754"/>
      <c r="D68" s="786" t="s">
        <v>1337</v>
      </c>
      <c r="E68" s="750" t="s">
        <v>1313</v>
      </c>
      <c r="F68" s="787">
        <f ca="1">F41</f>
        <v>0</v>
      </c>
      <c r="O68" s="2093" t="s">
        <v>1737</v>
      </c>
      <c r="P68" s="2091" t="s">
        <v>1767</v>
      </c>
      <c r="Q68" s="2097" t="e">
        <f ca="1">L51</f>
        <v>#DIV/0!</v>
      </c>
      <c r="R68" s="2098" t="s">
        <v>1770</v>
      </c>
    </row>
    <row r="69" spans="1:18" ht="20.25" thickBot="1">
      <c r="A69" s="756"/>
      <c r="B69" s="757"/>
      <c r="C69" s="758"/>
      <c r="D69" s="781"/>
      <c r="E69" s="750" t="s">
        <v>657</v>
      </c>
      <c r="F69" s="2065"/>
      <c r="O69" s="2093" t="s">
        <v>1738</v>
      </c>
      <c r="P69" s="2099" t="s">
        <v>1752</v>
      </c>
      <c r="Q69" s="2092" t="e">
        <f ca="1">ROUND(Q70-Q71*Q72,0)</f>
        <v>#DIV/0!</v>
      </c>
      <c r="R69" s="2095"/>
    </row>
    <row r="70" spans="1:18" ht="15.75" thickBot="1">
      <c r="A70" s="788" t="s">
        <v>1316</v>
      </c>
      <c r="B70" s="789" t="s">
        <v>1339</v>
      </c>
      <c r="C70" s="790" t="e">
        <f ca="1">ROUND(C67*10000/F70,0)</f>
        <v>#DIV/0!</v>
      </c>
      <c r="D70" s="791" t="s">
        <v>1340</v>
      </c>
      <c r="E70" s="792" t="s">
        <v>1341</v>
      </c>
      <c r="F70" s="793">
        <f ca="1">F43</f>
        <v>0</v>
      </c>
      <c r="O70" s="2093" t="s">
        <v>1753</v>
      </c>
      <c r="P70" s="2099" t="s">
        <v>1754</v>
      </c>
      <c r="Q70" s="2092" t="e">
        <f ca="1">C39</f>
        <v>#DIV/0!</v>
      </c>
      <c r="R70" s="2091" t="s">
        <v>1734</v>
      </c>
    </row>
    <row r="71" spans="1:18" ht="15.75" thickBot="1">
      <c r="O71" s="2093" t="s">
        <v>1755</v>
      </c>
      <c r="P71" s="2099" t="s">
        <v>1756</v>
      </c>
      <c r="Q71" s="2092">
        <f ca="1">C13</f>
        <v>0</v>
      </c>
      <c r="R71" s="2091" t="s">
        <v>1734</v>
      </c>
    </row>
    <row r="72" spans="1:18" ht="15.75" thickBot="1">
      <c r="O72" s="2093" t="s">
        <v>1757</v>
      </c>
      <c r="P72" s="2099" t="s">
        <v>1758</v>
      </c>
      <c r="Q72" s="2094">
        <f ca="1">J36</f>
        <v>0</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t="e">
        <f ca="1">Q66+Q67</f>
        <v>#DIV/0!</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3983" t="s">
        <v>2303</v>
      </c>
      <c r="K2" s="3984"/>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3985" t="s">
        <v>2313</v>
      </c>
      <c r="K3" s="3986"/>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3985" t="s">
        <v>2315</v>
      </c>
      <c r="K4" s="3986"/>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3991" t="s">
        <v>2319</v>
      </c>
      <c r="B6" s="3992"/>
      <c r="C6" s="3993"/>
      <c r="D6" s="3098"/>
      <c r="E6" s="3099"/>
      <c r="F6" s="3100"/>
      <c r="G6" s="3101"/>
      <c r="H6" s="3076"/>
      <c r="I6" s="3077"/>
      <c r="J6" s="3977">
        <v>1</v>
      </c>
      <c r="K6" s="3978"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3977"/>
      <c r="K7" s="3979"/>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3994" t="s">
        <v>2333</v>
      </c>
      <c r="C8" s="3995"/>
      <c r="D8" s="3117" t="s">
        <v>2334</v>
      </c>
      <c r="E8" s="3118" t="s">
        <v>2335</v>
      </c>
      <c r="F8" s="3119" t="s">
        <v>2336</v>
      </c>
      <c r="G8" s="3120"/>
      <c r="H8" s="3076"/>
      <c r="I8" s="3077"/>
      <c r="J8" s="3977"/>
      <c r="K8" s="3979"/>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3994" t="s">
        <v>2339</v>
      </c>
      <c r="C9" s="3995"/>
      <c r="D9" s="3117">
        <f>ROUND(D6*E9,0)</f>
        <v>0</v>
      </c>
      <c r="E9" s="3121"/>
      <c r="F9" s="3122" t="s">
        <v>2340</v>
      </c>
      <c r="G9" s="3101"/>
      <c r="H9" s="3076"/>
      <c r="I9" s="3077"/>
      <c r="J9" s="3977"/>
      <c r="K9" s="3979"/>
      <c r="L9" s="3111" t="s">
        <v>2341</v>
      </c>
      <c r="M9" s="3112"/>
      <c r="N9" s="3088"/>
      <c r="O9" s="3113"/>
      <c r="P9" s="3113"/>
      <c r="Q9" s="3114">
        <v>365</v>
      </c>
      <c r="R9" s="3115">
        <f t="shared" si="0"/>
        <v>0</v>
      </c>
      <c r="S9" s="3068"/>
      <c r="T9" s="3068"/>
      <c r="U9" s="3068"/>
      <c r="V9" s="3077"/>
    </row>
    <row r="10" spans="1:22" s="3081" customFormat="1" ht="13.15" customHeight="1">
      <c r="A10" s="3116">
        <v>2</v>
      </c>
      <c r="B10" s="3994" t="s">
        <v>2342</v>
      </c>
      <c r="C10" s="3995"/>
      <c r="D10" s="3117">
        <f>ROUND(D6*E10,0)</f>
        <v>0</v>
      </c>
      <c r="E10" s="3121"/>
      <c r="F10" s="3122" t="s">
        <v>2343</v>
      </c>
      <c r="G10" s="3101"/>
      <c r="H10" s="3076"/>
      <c r="I10" s="3077"/>
      <c r="J10" s="3977"/>
      <c r="K10" s="3979"/>
      <c r="L10" s="3111" t="s">
        <v>2344</v>
      </c>
      <c r="M10" s="3112"/>
      <c r="N10" s="3088"/>
      <c r="O10" s="3113"/>
      <c r="P10" s="3113"/>
      <c r="Q10" s="3114">
        <v>365</v>
      </c>
      <c r="R10" s="3115">
        <f t="shared" si="0"/>
        <v>0</v>
      </c>
      <c r="S10" s="3068"/>
      <c r="T10" s="3068"/>
      <c r="U10" s="3068"/>
      <c r="V10" s="3077"/>
    </row>
    <row r="11" spans="1:22" s="3081" customFormat="1" ht="13.15" customHeight="1">
      <c r="A11" s="3116">
        <v>3</v>
      </c>
      <c r="B11" s="3994" t="s">
        <v>2345</v>
      </c>
      <c r="C11" s="3995"/>
      <c r="D11" s="3117">
        <f>D12+D14+D15+D16</f>
        <v>0</v>
      </c>
      <c r="E11" s="3123" t="e">
        <f>D11/D6</f>
        <v>#DIV/0!</v>
      </c>
      <c r="F11" s="3119"/>
      <c r="G11" s="3120"/>
      <c r="H11" s="3076"/>
      <c r="I11" s="3077"/>
      <c r="J11" s="3977"/>
      <c r="K11" s="3979"/>
      <c r="L11" s="3111" t="s">
        <v>2346</v>
      </c>
      <c r="M11" s="3112"/>
      <c r="N11" s="3088"/>
      <c r="O11" s="3113"/>
      <c r="P11" s="3113"/>
      <c r="Q11" s="3114">
        <v>365</v>
      </c>
      <c r="R11" s="3115">
        <f t="shared" si="0"/>
        <v>0</v>
      </c>
      <c r="S11" s="3068"/>
      <c r="T11" s="3068"/>
      <c r="U11" s="3068"/>
      <c r="V11" s="3077"/>
    </row>
    <row r="12" spans="1:22" s="3081" customFormat="1" ht="13.15" customHeight="1">
      <c r="A12" s="3124" t="s">
        <v>2347</v>
      </c>
      <c r="B12" s="3987" t="s">
        <v>2348</v>
      </c>
      <c r="C12" s="3988"/>
      <c r="D12" s="3125">
        <f>ROUND(D13*1.2%*(1-30%),0)</f>
        <v>0</v>
      </c>
      <c r="E12" s="3126">
        <v>1.2E-2</v>
      </c>
      <c r="F12" s="3119" t="s">
        <v>2349</v>
      </c>
      <c r="G12" s="3120"/>
      <c r="H12" s="3076"/>
      <c r="I12" s="3077"/>
      <c r="J12" s="3977"/>
      <c r="K12" s="3979"/>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3977"/>
      <c r="K13" s="3979"/>
      <c r="L13" s="3111" t="s">
        <v>2352</v>
      </c>
      <c r="M13" s="3112"/>
      <c r="N13" s="3088"/>
      <c r="O13" s="3113"/>
      <c r="P13" s="3113"/>
      <c r="Q13" s="3114">
        <v>365</v>
      </c>
      <c r="R13" s="3115">
        <f t="shared" si="0"/>
        <v>0</v>
      </c>
      <c r="S13" s="3068"/>
      <c r="T13" s="3068"/>
      <c r="U13" s="3068"/>
      <c r="V13" s="3077"/>
    </row>
    <row r="14" spans="1:22" s="3081" customFormat="1" ht="13.15" customHeight="1">
      <c r="A14" s="3124" t="s">
        <v>2353</v>
      </c>
      <c r="B14" s="3987" t="s">
        <v>2354</v>
      </c>
      <c r="C14" s="3988"/>
      <c r="D14" s="3125">
        <f>ROUND(E14*B5/10000,0)</f>
        <v>0</v>
      </c>
      <c r="E14" s="3114"/>
      <c r="F14" s="3119" t="s">
        <v>2355</v>
      </c>
      <c r="G14" s="3120"/>
      <c r="H14" s="3076"/>
      <c r="I14" s="3077"/>
      <c r="J14" s="3977"/>
      <c r="K14" s="3980"/>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3987" t="s">
        <v>2358</v>
      </c>
      <c r="C15" s="3988"/>
      <c r="D15" s="3125">
        <f>ROUND(D6*E15,0)</f>
        <v>0</v>
      </c>
      <c r="E15" s="3126">
        <v>5.5E-2</v>
      </c>
      <c r="F15" s="3119" t="s">
        <v>2359</v>
      </c>
      <c r="G15" s="3101"/>
      <c r="H15" s="3076"/>
      <c r="I15" s="3077"/>
      <c r="J15" s="3977">
        <v>2</v>
      </c>
      <c r="K15" s="3978"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3987" t="s">
        <v>2369</v>
      </c>
      <c r="C16" s="3988"/>
      <c r="D16" s="3136">
        <f>D6*E16</f>
        <v>0</v>
      </c>
      <c r="E16" s="3137"/>
      <c r="F16" s="3122" t="s">
        <v>2370</v>
      </c>
      <c r="G16" s="3101"/>
      <c r="H16" s="3076"/>
      <c r="I16" s="3077"/>
      <c r="J16" s="3977"/>
      <c r="K16" s="3979"/>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3989" t="s">
        <v>2372</v>
      </c>
      <c r="C17" s="3990"/>
      <c r="D17" s="3139">
        <f>ROUND(D6*E17,0)</f>
        <v>0</v>
      </c>
      <c r="E17" s="3140"/>
      <c r="F17" s="3141" t="s">
        <v>2373</v>
      </c>
      <c r="G17" s="3101"/>
      <c r="H17" s="3076"/>
      <c r="I17" s="3077"/>
      <c r="J17" s="3977"/>
      <c r="K17" s="3979"/>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3977"/>
      <c r="K18" s="3979"/>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3977"/>
      <c r="K19" s="3980"/>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77">
        <v>3</v>
      </c>
      <c r="K20" s="3978"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3977"/>
      <c r="K21" s="3979"/>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3977"/>
      <c r="K22" s="3979"/>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3977"/>
      <c r="K23" s="3979"/>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3977"/>
      <c r="K24" s="3980"/>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3981">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3982"/>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3983" t="s">
        <v>2415</v>
      </c>
      <c r="K32" s="3984"/>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3985" t="s">
        <v>2419</v>
      </c>
      <c r="K33" s="3986"/>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3985" t="s">
        <v>2421</v>
      </c>
      <c r="K34" s="3986"/>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3977">
        <v>1</v>
      </c>
      <c r="K36" s="3978"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3977"/>
      <c r="K37" s="3979"/>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77"/>
      <c r="K38" s="3979"/>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3977"/>
      <c r="K39" s="3979"/>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3977"/>
      <c r="K40" s="3980"/>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3981">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3982"/>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7424</v>
      </c>
      <c r="D13" s="3013">
        <f>'数据-汇总表'!E6</f>
        <v>371200</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0.88300000000000001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08" t="s">
        <v>471</v>
      </c>
      <c r="D4" s="3909"/>
      <c r="E4" s="3930" t="s">
        <v>472</v>
      </c>
      <c r="F4" s="3931"/>
      <c r="G4" s="3908" t="s">
        <v>473</v>
      </c>
      <c r="H4" s="3909"/>
      <c r="I4" s="3908" t="s">
        <v>474</v>
      </c>
      <c r="J4" s="3909"/>
      <c r="K4" s="818"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889" t="s">
        <v>473</v>
      </c>
      <c r="AC4" s="3889" t="s">
        <v>474</v>
      </c>
    </row>
    <row r="5" spans="1:29" ht="15">
      <c r="A5" s="485"/>
      <c r="B5" s="486"/>
      <c r="C5" s="3919" t="s">
        <v>2192</v>
      </c>
      <c r="D5" s="3920"/>
      <c r="E5" s="3932" t="s">
        <v>2193</v>
      </c>
      <c r="F5" s="3933"/>
      <c r="G5" s="3919" t="s">
        <v>2194</v>
      </c>
      <c r="H5" s="3920"/>
      <c r="I5" s="3919" t="s">
        <v>2195</v>
      </c>
      <c r="J5" s="3920"/>
      <c r="K5" s="819"/>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2196</v>
      </c>
      <c r="D6" s="3918"/>
      <c r="E6" s="3934" t="s">
        <v>2196</v>
      </c>
      <c r="F6" s="3935"/>
      <c r="G6" s="3917" t="s">
        <v>2196</v>
      </c>
      <c r="H6" s="3918"/>
      <c r="I6" s="3917" t="s">
        <v>2196</v>
      </c>
      <c r="J6" s="3918"/>
      <c r="K6" s="819"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92" t="s">
        <v>479</v>
      </c>
      <c r="Q7" s="3901"/>
      <c r="R7" s="1381" t="s">
        <v>10</v>
      </c>
      <c r="S7" s="1382">
        <f t="shared" ref="S7:S15" si="0">F7</f>
        <v>0</v>
      </c>
      <c r="T7" s="1381" t="s">
        <v>10</v>
      </c>
      <c r="U7" s="1382">
        <f t="shared" ref="U7:U15" si="1">H7</f>
        <v>0</v>
      </c>
      <c r="V7" s="1381" t="s">
        <v>10</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92" t="s">
        <v>482</v>
      </c>
      <c r="Q8" s="3893"/>
      <c r="R8" s="1381" t="s">
        <v>10</v>
      </c>
      <c r="S8" s="1382">
        <f t="shared" si="0"/>
        <v>0</v>
      </c>
      <c r="T8" s="1381" t="s">
        <v>10</v>
      </c>
      <c r="U8" s="1382">
        <f t="shared" si="1"/>
        <v>0</v>
      </c>
      <c r="V8" s="1381" t="s">
        <v>10</v>
      </c>
      <c r="W8" s="1382">
        <f t="shared" si="2"/>
        <v>0</v>
      </c>
      <c r="X8" s="1383"/>
      <c r="Y8" s="3892" t="s">
        <v>482</v>
      </c>
      <c r="Z8" s="3893"/>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00"/>
      <c r="Q11" s="1050" t="str">
        <f t="shared" si="6"/>
        <v>容积率</v>
      </c>
      <c r="R11" s="1381" t="s">
        <v>8</v>
      </c>
      <c r="S11" s="1382" t="e">
        <f t="shared" si="0"/>
        <v>#N/A</v>
      </c>
      <c r="T11" s="1381" t="s">
        <v>8</v>
      </c>
      <c r="U11" s="1382" t="e">
        <f t="shared" si="1"/>
        <v>#N/A</v>
      </c>
      <c r="V11" s="1381" t="s">
        <v>8</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00"/>
      <c r="Q12" s="1050">
        <f t="shared" si="6"/>
        <v>111</v>
      </c>
      <c r="R12" s="1381" t="s">
        <v>8</v>
      </c>
      <c r="S12" s="1382">
        <f t="shared" si="0"/>
        <v>100</v>
      </c>
      <c r="T12" s="1381" t="s">
        <v>8</v>
      </c>
      <c r="U12" s="1382">
        <f t="shared" si="1"/>
        <v>100</v>
      </c>
      <c r="V12" s="1381" t="s">
        <v>8</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00"/>
      <c r="Q13" s="1050">
        <f t="shared" si="6"/>
        <v>111</v>
      </c>
      <c r="R13" s="1381" t="s">
        <v>8</v>
      </c>
      <c r="S13" s="1382">
        <f t="shared" si="0"/>
        <v>100</v>
      </c>
      <c r="T13" s="1381" t="s">
        <v>8</v>
      </c>
      <c r="U13" s="1382">
        <f t="shared" si="1"/>
        <v>100</v>
      </c>
      <c r="V13" s="1381" t="s">
        <v>8</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00"/>
      <c r="Q14" s="1050">
        <f t="shared" si="6"/>
        <v>111</v>
      </c>
      <c r="R14" s="1381" t="s">
        <v>8</v>
      </c>
      <c r="S14" s="1382">
        <f t="shared" si="0"/>
        <v>100</v>
      </c>
      <c r="T14" s="1381" t="s">
        <v>8</v>
      </c>
      <c r="U14" s="1382">
        <f t="shared" si="1"/>
        <v>100</v>
      </c>
      <c r="V14" s="1381" t="s">
        <v>8</v>
      </c>
      <c r="W14" s="1382">
        <f t="shared" si="2"/>
        <v>100</v>
      </c>
      <c r="X14" s="1383"/>
      <c r="Y14" s="3833"/>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02" t="s">
        <v>489</v>
      </c>
      <c r="Q15" s="1385" t="str">
        <f t="shared" si="6"/>
        <v>居住社区成熟度</v>
      </c>
      <c r="R15" s="1386" t="s">
        <v>8</v>
      </c>
      <c r="S15" s="1387">
        <f t="shared" si="0"/>
        <v>100</v>
      </c>
      <c r="T15" s="1386" t="s">
        <v>8</v>
      </c>
      <c r="U15" s="1387">
        <f t="shared" si="1"/>
        <v>100</v>
      </c>
      <c r="V15" s="1386" t="s">
        <v>8</v>
      </c>
      <c r="W15" s="1387">
        <f t="shared" si="2"/>
        <v>100</v>
      </c>
      <c r="X15" s="1380"/>
      <c r="Y15" s="390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03"/>
      <c r="Q17" s="1385" t="str">
        <f>B17</f>
        <v>交通便捷度</v>
      </c>
      <c r="R17" s="1386" t="s">
        <v>8</v>
      </c>
      <c r="S17" s="1387">
        <f>F17</f>
        <v>100</v>
      </c>
      <c r="T17" s="1386" t="s">
        <v>8</v>
      </c>
      <c r="U17" s="1387">
        <f>H17</f>
        <v>100</v>
      </c>
      <c r="V17" s="1386" t="s">
        <v>8</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03"/>
      <c r="Q19" s="1385" t="str">
        <f>B19</f>
        <v>公共配套设施</v>
      </c>
      <c r="R19" s="1386" t="s">
        <v>8</v>
      </c>
      <c r="S19" s="1387">
        <f>F19</f>
        <v>100</v>
      </c>
      <c r="T19" s="1386" t="s">
        <v>8</v>
      </c>
      <c r="U19" s="1387">
        <f>H19</f>
        <v>100</v>
      </c>
      <c r="V19" s="1386" t="s">
        <v>8</v>
      </c>
      <c r="W19" s="1387">
        <f>J19</f>
        <v>100</v>
      </c>
      <c r="X19" s="1380"/>
      <c r="Y19" s="390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03"/>
      <c r="Q21" s="2193" t="str">
        <f>B21</f>
        <v>基础设施水平</v>
      </c>
      <c r="R21" s="1386" t="s">
        <v>8</v>
      </c>
      <c r="S21" s="1387">
        <f>F21</f>
        <v>100</v>
      </c>
      <c r="T21" s="1386" t="s">
        <v>8</v>
      </c>
      <c r="U21" s="1387">
        <f>H21</f>
        <v>100</v>
      </c>
      <c r="V21" s="1386" t="s">
        <v>8</v>
      </c>
      <c r="W21" s="1387">
        <f>J21</f>
        <v>100</v>
      </c>
      <c r="X21" s="2195"/>
      <c r="Y21" s="390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03"/>
      <c r="Q22" s="2193"/>
      <c r="R22" s="1386"/>
      <c r="S22" s="1387"/>
      <c r="T22" s="1386"/>
      <c r="U22" s="1387"/>
      <c r="V22" s="1386"/>
      <c r="W22" s="1387"/>
      <c r="X22" s="2195"/>
      <c r="Y22" s="3903"/>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03"/>
      <c r="Q23" s="1385" t="str">
        <f>B23</f>
        <v>自然及人文环境</v>
      </c>
      <c r="R23" s="1386" t="s">
        <v>8</v>
      </c>
      <c r="S23" s="1387">
        <f>F23</f>
        <v>100</v>
      </c>
      <c r="T23" s="1386" t="s">
        <v>8</v>
      </c>
      <c r="U23" s="1387">
        <f>H23</f>
        <v>100</v>
      </c>
      <c r="V23" s="1386" t="s">
        <v>8</v>
      </c>
      <c r="W23" s="1387">
        <f>J23</f>
        <v>100</v>
      </c>
      <c r="X23" s="1380"/>
      <c r="Y23" s="390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03"/>
      <c r="Q25" s="1385" t="str">
        <f t="shared" ref="Q25:Q46" si="8">B25</f>
        <v>楼层-1</v>
      </c>
      <c r="R25" s="1386" t="s">
        <v>8</v>
      </c>
      <c r="S25" s="1387">
        <f>F25</f>
        <v>100</v>
      </c>
      <c r="T25" s="1386" t="s">
        <v>8</v>
      </c>
      <c r="U25" s="1387">
        <f>H25</f>
        <v>100</v>
      </c>
      <c r="V25" s="1386" t="s">
        <v>8</v>
      </c>
      <c r="W25" s="1387">
        <f>J25</f>
        <v>100</v>
      </c>
      <c r="X25" s="1380"/>
      <c r="Y25" s="390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03"/>
      <c r="Q26" s="1385" t="str">
        <f t="shared" si="8"/>
        <v>朝向</v>
      </c>
      <c r="R26" s="1386" t="s">
        <v>8</v>
      </c>
      <c r="S26" s="1387">
        <f>F26</f>
        <v>100</v>
      </c>
      <c r="T26" s="1386" t="s">
        <v>8</v>
      </c>
      <c r="U26" s="1387">
        <f>H26</f>
        <v>100</v>
      </c>
      <c r="V26" s="1386" t="s">
        <v>8</v>
      </c>
      <c r="W26" s="1387">
        <f>J26</f>
        <v>100</v>
      </c>
      <c r="X26" s="1380"/>
      <c r="Y26" s="390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03"/>
      <c r="Q27" s="1050" t="str">
        <f t="shared" si="8"/>
        <v>道路级别</v>
      </c>
      <c r="R27" s="1381" t="s">
        <v>8</v>
      </c>
      <c r="S27" s="1382">
        <f>F27</f>
        <v>100</v>
      </c>
      <c r="T27" s="1381" t="s">
        <v>8</v>
      </c>
      <c r="U27" s="1382">
        <f>H27</f>
        <v>100</v>
      </c>
      <c r="V27" s="1381" t="s">
        <v>8</v>
      </c>
      <c r="W27" s="1382">
        <f>J27</f>
        <v>100</v>
      </c>
      <c r="X27" s="1383"/>
      <c r="Y27" s="390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03"/>
      <c r="Q28" s="1385">
        <f t="shared" si="8"/>
        <v>111</v>
      </c>
      <c r="R28" s="1386" t="s">
        <v>8</v>
      </c>
      <c r="S28" s="1387">
        <f t="shared" ref="S28:S46" si="9">F28</f>
        <v>100</v>
      </c>
      <c r="T28" s="1386" t="s">
        <v>8</v>
      </c>
      <c r="U28" s="1387">
        <f t="shared" ref="U28:U46" si="10">H28</f>
        <v>100</v>
      </c>
      <c r="V28" s="1386" t="s">
        <v>8</v>
      </c>
      <c r="W28" s="1387">
        <f t="shared" ref="W28:W46" si="11">J28</f>
        <v>100</v>
      </c>
      <c r="X28" s="1380"/>
      <c r="Y28" s="390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03"/>
      <c r="Q29" s="1385">
        <f t="shared" si="8"/>
        <v>111</v>
      </c>
      <c r="R29" s="1386" t="s">
        <v>8</v>
      </c>
      <c r="S29" s="1387">
        <f t="shared" si="9"/>
        <v>100</v>
      </c>
      <c r="T29" s="1386" t="s">
        <v>8</v>
      </c>
      <c r="U29" s="1387">
        <f t="shared" si="10"/>
        <v>100</v>
      </c>
      <c r="V29" s="1386" t="s">
        <v>8</v>
      </c>
      <c r="W29" s="1387">
        <f t="shared" si="11"/>
        <v>100</v>
      </c>
      <c r="X29" s="1380"/>
      <c r="Y29" s="390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03"/>
      <c r="Q30" s="1385">
        <f t="shared" si="8"/>
        <v>111</v>
      </c>
      <c r="R30" s="1386" t="s">
        <v>8</v>
      </c>
      <c r="S30" s="1387">
        <f t="shared" si="9"/>
        <v>100</v>
      </c>
      <c r="T30" s="1386" t="s">
        <v>8</v>
      </c>
      <c r="U30" s="1387">
        <f t="shared" si="10"/>
        <v>100</v>
      </c>
      <c r="V30" s="1386" t="s">
        <v>8</v>
      </c>
      <c r="W30" s="1387">
        <f t="shared" si="11"/>
        <v>100</v>
      </c>
      <c r="X30" s="1380"/>
      <c r="Y30" s="3903"/>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03"/>
      <c r="Q31" s="1385">
        <f t="shared" si="8"/>
        <v>111</v>
      </c>
      <c r="R31" s="1386" t="s">
        <v>8</v>
      </c>
      <c r="S31" s="1387">
        <f t="shared" si="9"/>
        <v>100</v>
      </c>
      <c r="T31" s="1386" t="s">
        <v>8</v>
      </c>
      <c r="U31" s="1387">
        <f t="shared" si="10"/>
        <v>100</v>
      </c>
      <c r="V31" s="1386" t="s">
        <v>8</v>
      </c>
      <c r="W31" s="1387">
        <f t="shared" si="11"/>
        <v>100</v>
      </c>
      <c r="X31" s="1380"/>
      <c r="Y31" s="3903"/>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04" t="s">
        <v>499</v>
      </c>
      <c r="Q32" s="1385" t="str">
        <f t="shared" si="8"/>
        <v>建筑类型</v>
      </c>
      <c r="R32" s="1386" t="s">
        <v>8</v>
      </c>
      <c r="S32" s="1387">
        <f t="shared" si="9"/>
        <v>100</v>
      </c>
      <c r="T32" s="1386" t="s">
        <v>8</v>
      </c>
      <c r="U32" s="1387">
        <f t="shared" si="10"/>
        <v>100</v>
      </c>
      <c r="V32" s="1386" t="s">
        <v>8</v>
      </c>
      <c r="W32" s="1387">
        <f t="shared" si="11"/>
        <v>100</v>
      </c>
      <c r="X32" s="1380"/>
      <c r="Y32" s="390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05"/>
      <c r="Q33" s="1414" t="str">
        <f t="shared" si="8"/>
        <v>项目建筑规模</v>
      </c>
      <c r="R33" s="1390" t="s">
        <v>8</v>
      </c>
      <c r="S33" s="1391" t="e">
        <f t="shared" si="9"/>
        <v>#N/A</v>
      </c>
      <c r="T33" s="1390" t="s">
        <v>8</v>
      </c>
      <c r="U33" s="1391" t="e">
        <f t="shared" si="10"/>
        <v>#N/A</v>
      </c>
      <c r="V33" s="1390" t="s">
        <v>8</v>
      </c>
      <c r="W33" s="1391" t="e">
        <f t="shared" si="11"/>
        <v>#N/A</v>
      </c>
      <c r="X33" s="1392"/>
      <c r="Y33" s="390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05"/>
      <c r="Q34" s="1385" t="str">
        <f t="shared" si="8"/>
        <v>建筑结构</v>
      </c>
      <c r="R34" s="1386" t="s">
        <v>8</v>
      </c>
      <c r="S34" s="1387">
        <f t="shared" si="9"/>
        <v>100</v>
      </c>
      <c r="T34" s="1386" t="s">
        <v>8</v>
      </c>
      <c r="U34" s="1387">
        <f t="shared" si="10"/>
        <v>100</v>
      </c>
      <c r="V34" s="1386" t="s">
        <v>8</v>
      </c>
      <c r="W34" s="1387">
        <f t="shared" si="11"/>
        <v>100</v>
      </c>
      <c r="X34" s="1380"/>
      <c r="Y34" s="390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05"/>
      <c r="Q35" s="1385" t="str">
        <f t="shared" si="8"/>
        <v>建筑品质</v>
      </c>
      <c r="R35" s="1386" t="s">
        <v>8</v>
      </c>
      <c r="S35" s="1387">
        <f t="shared" si="9"/>
        <v>100</v>
      </c>
      <c r="T35" s="1386" t="s">
        <v>8</v>
      </c>
      <c r="U35" s="1387">
        <f t="shared" si="10"/>
        <v>100</v>
      </c>
      <c r="V35" s="1386" t="s">
        <v>8</v>
      </c>
      <c r="W35" s="1387">
        <f t="shared" si="11"/>
        <v>100</v>
      </c>
      <c r="X35" s="1380"/>
      <c r="Y35" s="390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05"/>
      <c r="Q36" s="1385" t="str">
        <f t="shared" si="8"/>
        <v>公共部分装修</v>
      </c>
      <c r="R36" s="1386" t="s">
        <v>8</v>
      </c>
      <c r="S36" s="1387">
        <f t="shared" si="9"/>
        <v>100</v>
      </c>
      <c r="T36" s="1386" t="s">
        <v>8</v>
      </c>
      <c r="U36" s="1387">
        <f t="shared" si="10"/>
        <v>100</v>
      </c>
      <c r="V36" s="1386" t="s">
        <v>8</v>
      </c>
      <c r="W36" s="1387">
        <f t="shared" si="11"/>
        <v>100</v>
      </c>
      <c r="X36" s="1380"/>
      <c r="Y36" s="390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05"/>
      <c r="Q37" s="1050" t="str">
        <f t="shared" si="8"/>
        <v>成新度</v>
      </c>
      <c r="R37" s="1381" t="s">
        <v>8</v>
      </c>
      <c r="S37" s="1382" t="e">
        <f t="shared" si="9"/>
        <v>#N/A</v>
      </c>
      <c r="T37" s="1381" t="s">
        <v>8</v>
      </c>
      <c r="U37" s="1382" t="e">
        <f t="shared" si="10"/>
        <v>#N/A</v>
      </c>
      <c r="V37" s="1381" t="s">
        <v>8</v>
      </c>
      <c r="W37" s="1382" t="e">
        <f t="shared" si="11"/>
        <v>#N/A</v>
      </c>
      <c r="X37" s="1383"/>
      <c r="Y37" s="390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05" t="s">
        <v>499</v>
      </c>
      <c r="Q38" s="1385" t="str">
        <f t="shared" si="8"/>
        <v>物业管理</v>
      </c>
      <c r="R38" s="1386" t="s">
        <v>8</v>
      </c>
      <c r="S38" s="1387">
        <f t="shared" si="9"/>
        <v>100</v>
      </c>
      <c r="T38" s="1386" t="s">
        <v>8</v>
      </c>
      <c r="U38" s="1387">
        <f t="shared" si="10"/>
        <v>100</v>
      </c>
      <c r="V38" s="1386" t="s">
        <v>8</v>
      </c>
      <c r="W38" s="1387">
        <f t="shared" si="11"/>
        <v>100</v>
      </c>
      <c r="X38" s="1380"/>
      <c r="Y38" s="3905"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05"/>
      <c r="Q39" s="1385" t="str">
        <f t="shared" si="8"/>
        <v>市政基础设施</v>
      </c>
      <c r="R39" s="1386" t="s">
        <v>8</v>
      </c>
      <c r="S39" s="1387">
        <f t="shared" si="9"/>
        <v>100</v>
      </c>
      <c r="T39" s="1386" t="s">
        <v>8</v>
      </c>
      <c r="U39" s="1387">
        <f t="shared" si="10"/>
        <v>100</v>
      </c>
      <c r="V39" s="1386" t="s">
        <v>8</v>
      </c>
      <c r="W39" s="1387">
        <f t="shared" si="11"/>
        <v>100</v>
      </c>
      <c r="X39" s="1380"/>
      <c r="Y39" s="390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05"/>
      <c r="Q40" s="1385" t="str">
        <f t="shared" si="8"/>
        <v>房型</v>
      </c>
      <c r="R40" s="1386" t="s">
        <v>8</v>
      </c>
      <c r="S40" s="1387">
        <f t="shared" si="9"/>
        <v>100</v>
      </c>
      <c r="T40" s="1386" t="s">
        <v>8</v>
      </c>
      <c r="U40" s="1387">
        <f t="shared" si="10"/>
        <v>100</v>
      </c>
      <c r="V40" s="1386" t="s">
        <v>8</v>
      </c>
      <c r="W40" s="1387">
        <f t="shared" si="11"/>
        <v>100</v>
      </c>
      <c r="X40" s="1380"/>
      <c r="Y40" s="3905"/>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05"/>
      <c r="Q41" s="1414" t="str">
        <f t="shared" si="8"/>
        <v>单套/主力户型建筑面积</v>
      </c>
      <c r="R41" s="1390" t="s">
        <v>8</v>
      </c>
      <c r="S41" s="1391">
        <f t="shared" si="9"/>
        <v>100</v>
      </c>
      <c r="T41" s="1390" t="s">
        <v>8</v>
      </c>
      <c r="U41" s="1391">
        <f t="shared" si="10"/>
        <v>100</v>
      </c>
      <c r="V41" s="1390" t="s">
        <v>8</v>
      </c>
      <c r="W41" s="1391">
        <f t="shared" si="11"/>
        <v>100</v>
      </c>
      <c r="X41" s="1392"/>
      <c r="Y41" s="390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05"/>
      <c r="Q42" s="1385" t="str">
        <f t="shared" si="8"/>
        <v>内部装修</v>
      </c>
      <c r="R42" s="1386" t="s">
        <v>8</v>
      </c>
      <c r="S42" s="1387">
        <f t="shared" si="9"/>
        <v>100</v>
      </c>
      <c r="T42" s="1386" t="s">
        <v>8</v>
      </c>
      <c r="U42" s="1387">
        <f t="shared" si="10"/>
        <v>100</v>
      </c>
      <c r="V42" s="1386" t="s">
        <v>8</v>
      </c>
      <c r="W42" s="1387">
        <f t="shared" si="11"/>
        <v>100</v>
      </c>
      <c r="X42" s="1380"/>
      <c r="Y42" s="3905"/>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05"/>
      <c r="Q43" s="1385" t="str">
        <f t="shared" si="8"/>
        <v>内部装修维护情况</v>
      </c>
      <c r="R43" s="1386" t="s">
        <v>8</v>
      </c>
      <c r="S43" s="1387">
        <f t="shared" si="9"/>
        <v>100</v>
      </c>
      <c r="T43" s="1386" t="s">
        <v>8</v>
      </c>
      <c r="U43" s="1387">
        <f t="shared" si="10"/>
        <v>100</v>
      </c>
      <c r="V43" s="1386" t="s">
        <v>8</v>
      </c>
      <c r="W43" s="1387">
        <f t="shared" si="11"/>
        <v>100</v>
      </c>
      <c r="X43" s="1380"/>
      <c r="Y43" s="390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05"/>
      <c r="Q44" s="1050">
        <f t="shared" si="8"/>
        <v>111</v>
      </c>
      <c r="R44" s="1381" t="s">
        <v>8</v>
      </c>
      <c r="S44" s="1382">
        <f t="shared" si="9"/>
        <v>100</v>
      </c>
      <c r="T44" s="1381" t="s">
        <v>8</v>
      </c>
      <c r="U44" s="1382">
        <f t="shared" si="10"/>
        <v>100</v>
      </c>
      <c r="V44" s="1381" t="s">
        <v>8</v>
      </c>
      <c r="W44" s="1382">
        <f t="shared" si="11"/>
        <v>100</v>
      </c>
      <c r="X44" s="1383"/>
      <c r="Y44" s="390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05"/>
      <c r="Q45" s="1385">
        <f t="shared" si="8"/>
        <v>111</v>
      </c>
      <c r="R45" s="1386" t="s">
        <v>8</v>
      </c>
      <c r="S45" s="1387">
        <f t="shared" si="9"/>
        <v>100</v>
      </c>
      <c r="T45" s="1386" t="s">
        <v>8</v>
      </c>
      <c r="U45" s="1387">
        <f t="shared" si="10"/>
        <v>100</v>
      </c>
      <c r="V45" s="1386" t="s">
        <v>8</v>
      </c>
      <c r="W45" s="1387">
        <f t="shared" si="11"/>
        <v>100</v>
      </c>
      <c r="X45" s="1380"/>
      <c r="Y45" s="3905"/>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8"/>
      <c r="Q46" s="1385">
        <f t="shared" si="8"/>
        <v>111</v>
      </c>
      <c r="R46" s="1386" t="s">
        <v>7</v>
      </c>
      <c r="S46" s="1387">
        <f t="shared" si="9"/>
        <v>100</v>
      </c>
      <c r="T46" s="1386" t="s">
        <v>7</v>
      </c>
      <c r="U46" s="1387">
        <f t="shared" si="10"/>
        <v>100</v>
      </c>
      <c r="V46" s="1386" t="s">
        <v>7</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900" t="str">
        <f>A47</f>
        <v>成交单价（元/平方米）</v>
      </c>
      <c r="Q47" s="3900"/>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900" t="str">
        <f>A48</f>
        <v>比较价格（元/平方米）</v>
      </c>
      <c r="Q48" s="3900"/>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906" t="str">
        <f>A49</f>
        <v>估价对象XX用房的比较价格（楼面单价，元/平方米）</v>
      </c>
      <c r="Q49" s="3907"/>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08" t="s">
        <v>471</v>
      </c>
      <c r="D4" s="3909"/>
      <c r="E4" s="3930" t="s">
        <v>472</v>
      </c>
      <c r="F4" s="3931"/>
      <c r="G4" s="3908" t="s">
        <v>473</v>
      </c>
      <c r="H4" s="3909"/>
      <c r="I4" s="3908" t="s">
        <v>474</v>
      </c>
      <c r="J4" s="3909"/>
      <c r="K4" s="484"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916" t="s">
        <v>473</v>
      </c>
      <c r="AC4" s="3889" t="s">
        <v>474</v>
      </c>
    </row>
    <row r="5" spans="1:29" ht="15">
      <c r="A5" s="485"/>
      <c r="B5" s="486"/>
      <c r="C5" s="3919" t="s">
        <v>2192</v>
      </c>
      <c r="D5" s="3920"/>
      <c r="E5" s="3932" t="s">
        <v>2193</v>
      </c>
      <c r="F5" s="3933"/>
      <c r="G5" s="3919" t="s">
        <v>2194</v>
      </c>
      <c r="H5" s="3920"/>
      <c r="I5" s="3919" t="s">
        <v>2195</v>
      </c>
      <c r="J5" s="3920"/>
      <c r="K5" s="484"/>
      <c r="L5" s="1856"/>
      <c r="M5" s="1857"/>
      <c r="N5" s="1857"/>
      <c r="O5" s="1857"/>
      <c r="P5" s="3912"/>
      <c r="Q5" s="3913"/>
      <c r="R5" s="3896"/>
      <c r="S5" s="3897"/>
      <c r="T5" s="3896"/>
      <c r="U5" s="3897"/>
      <c r="V5" s="3916"/>
      <c r="W5" s="3916"/>
      <c r="X5" s="1380"/>
      <c r="Y5" s="3896"/>
      <c r="Z5" s="3897"/>
      <c r="AA5" s="3890"/>
      <c r="AB5" s="3916"/>
      <c r="AC5" s="3890"/>
    </row>
    <row r="6" spans="1:29" ht="15.75" thickBot="1">
      <c r="A6" s="487"/>
      <c r="B6" s="488"/>
      <c r="C6" s="3917" t="s">
        <v>2196</v>
      </c>
      <c r="D6" s="3918"/>
      <c r="E6" s="3934" t="s">
        <v>2196</v>
      </c>
      <c r="F6" s="3935"/>
      <c r="G6" s="3917" t="s">
        <v>2196</v>
      </c>
      <c r="H6" s="3918"/>
      <c r="I6" s="3917" t="s">
        <v>2196</v>
      </c>
      <c r="J6" s="3918"/>
      <c r="K6" s="484" t="s">
        <v>477</v>
      </c>
      <c r="L6" s="1856"/>
      <c r="M6" s="1857"/>
      <c r="N6" s="1857"/>
      <c r="O6" s="1857"/>
      <c r="P6" s="3914"/>
      <c r="Q6" s="3915"/>
      <c r="R6" s="3896"/>
      <c r="S6" s="3897"/>
      <c r="T6" s="3898"/>
      <c r="U6" s="3899"/>
      <c r="V6" s="3916"/>
      <c r="W6" s="3916"/>
      <c r="X6" s="1380"/>
      <c r="Y6" s="3898"/>
      <c r="Z6" s="3899"/>
      <c r="AA6" s="3891"/>
      <c r="AB6" s="3916"/>
      <c r="AC6" s="3891"/>
    </row>
    <row r="7" spans="1:29" s="1118" customFormat="1" ht="15.75" thickBot="1">
      <c r="A7" s="2392"/>
      <c r="B7" s="2399" t="s">
        <v>478</v>
      </c>
      <c r="C7" s="489">
        <f>'数据-取费表'!B2</f>
        <v>44994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92"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02" t="s">
        <v>489</v>
      </c>
      <c r="Q15" s="1385" t="str">
        <f t="shared" si="6"/>
        <v>商业繁华度</v>
      </c>
      <c r="R15" s="1386" t="s">
        <v>5</v>
      </c>
      <c r="S15" s="1387">
        <f t="shared" si="0"/>
        <v>100</v>
      </c>
      <c r="T15" s="1386" t="s">
        <v>5</v>
      </c>
      <c r="U15" s="1387">
        <f t="shared" si="1"/>
        <v>100</v>
      </c>
      <c r="V15" s="1386" t="s">
        <v>5</v>
      </c>
      <c r="W15" s="1387">
        <f t="shared" si="2"/>
        <v>100</v>
      </c>
      <c r="X15" s="1380"/>
      <c r="Y15" s="390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03"/>
      <c r="Q22" s="2193"/>
      <c r="R22" s="1386"/>
      <c r="S22" s="1387"/>
      <c r="T22" s="1386"/>
      <c r="U22" s="1387"/>
      <c r="V22" s="1386"/>
      <c r="W22" s="1387"/>
      <c r="X22" s="2195"/>
      <c r="Y22" s="3903"/>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03"/>
      <c r="Q23" s="1385" t="str">
        <f>B23</f>
        <v>自然及人文环境</v>
      </c>
      <c r="R23" s="1386" t="s">
        <v>5</v>
      </c>
      <c r="S23" s="1387">
        <f>F23</f>
        <v>100</v>
      </c>
      <c r="T23" s="1386" t="s">
        <v>5</v>
      </c>
      <c r="U23" s="1387">
        <f>H23</f>
        <v>100</v>
      </c>
      <c r="V23" s="1386" t="s">
        <v>5</v>
      </c>
      <c r="W23" s="1387">
        <f>J23</f>
        <v>100</v>
      </c>
      <c r="X23" s="1380"/>
      <c r="Y23" s="390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03"/>
      <c r="Q25" s="1385" t="str">
        <f t="shared" ref="Q25:Q46" si="8">B25</f>
        <v>临街状况</v>
      </c>
      <c r="R25" s="1386" t="s">
        <v>5</v>
      </c>
      <c r="S25" s="1387">
        <f>F25</f>
        <v>100</v>
      </c>
      <c r="T25" s="1386" t="s">
        <v>5</v>
      </c>
      <c r="U25" s="1387">
        <f>H25</f>
        <v>100</v>
      </c>
      <c r="V25" s="1386" t="s">
        <v>5</v>
      </c>
      <c r="W25" s="1387">
        <f>J25</f>
        <v>100</v>
      </c>
      <c r="X25" s="1380"/>
      <c r="Y25" s="390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03"/>
      <c r="Q26" s="1385" t="str">
        <f t="shared" si="8"/>
        <v>平面位置/可视性</v>
      </c>
      <c r="R26" s="1386" t="s">
        <v>5</v>
      </c>
      <c r="S26" s="1387">
        <f>F26</f>
        <v>100</v>
      </c>
      <c r="T26" s="1386" t="s">
        <v>5</v>
      </c>
      <c r="U26" s="1387">
        <f>H26</f>
        <v>100</v>
      </c>
      <c r="V26" s="1386" t="s">
        <v>5</v>
      </c>
      <c r="W26" s="1387">
        <f>J26</f>
        <v>100</v>
      </c>
      <c r="X26" s="1380"/>
      <c r="Y26" s="390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03"/>
      <c r="Q27" s="1050" t="str">
        <f t="shared" si="8"/>
        <v>人流量</v>
      </c>
      <c r="R27" s="1381" t="s">
        <v>5</v>
      </c>
      <c r="S27" s="1382">
        <f>F27</f>
        <v>100</v>
      </c>
      <c r="T27" s="1381" t="s">
        <v>5</v>
      </c>
      <c r="U27" s="1382">
        <f>H27</f>
        <v>100</v>
      </c>
      <c r="V27" s="1381" t="s">
        <v>5</v>
      </c>
      <c r="W27" s="1382">
        <f>J27</f>
        <v>100</v>
      </c>
      <c r="X27" s="1383"/>
      <c r="Y27" s="390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0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0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03"/>
      <c r="Q29" s="1385">
        <f t="shared" si="8"/>
        <v>111</v>
      </c>
      <c r="R29" s="1386" t="s">
        <v>5</v>
      </c>
      <c r="S29" s="1387">
        <f t="shared" si="9"/>
        <v>100</v>
      </c>
      <c r="T29" s="1386" t="s">
        <v>5</v>
      </c>
      <c r="U29" s="1387">
        <f t="shared" si="10"/>
        <v>100</v>
      </c>
      <c r="V29" s="1386" t="s">
        <v>5</v>
      </c>
      <c r="W29" s="1387">
        <f t="shared" si="11"/>
        <v>100</v>
      </c>
      <c r="X29" s="1380"/>
      <c r="Y29" s="390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03"/>
      <c r="Q30" s="1385">
        <f t="shared" si="8"/>
        <v>111</v>
      </c>
      <c r="R30" s="1386" t="s">
        <v>5</v>
      </c>
      <c r="S30" s="1387">
        <f t="shared" si="9"/>
        <v>100</v>
      </c>
      <c r="T30" s="1386" t="s">
        <v>5</v>
      </c>
      <c r="U30" s="1387">
        <f t="shared" si="10"/>
        <v>100</v>
      </c>
      <c r="V30" s="1386" t="s">
        <v>5</v>
      </c>
      <c r="W30" s="1387">
        <f t="shared" si="11"/>
        <v>100</v>
      </c>
      <c r="X30" s="1380"/>
      <c r="Y30" s="3903"/>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03"/>
      <c r="Q31" s="1385">
        <f t="shared" si="8"/>
        <v>111</v>
      </c>
      <c r="R31" s="1386" t="s">
        <v>5</v>
      </c>
      <c r="S31" s="1387">
        <f t="shared" si="9"/>
        <v>100</v>
      </c>
      <c r="T31" s="1386" t="s">
        <v>5</v>
      </c>
      <c r="U31" s="1387">
        <f t="shared" si="10"/>
        <v>100</v>
      </c>
      <c r="V31" s="1386" t="s">
        <v>5</v>
      </c>
      <c r="W31" s="1387">
        <f t="shared" si="11"/>
        <v>100</v>
      </c>
      <c r="X31" s="1380"/>
      <c r="Y31" s="3903"/>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04" t="s">
        <v>499</v>
      </c>
      <c r="Q32" s="1385" t="str">
        <f t="shared" si="8"/>
        <v>商业类型</v>
      </c>
      <c r="R32" s="1386" t="s">
        <v>5</v>
      </c>
      <c r="S32" s="1387">
        <f t="shared" si="9"/>
        <v>100</v>
      </c>
      <c r="T32" s="1386" t="s">
        <v>5</v>
      </c>
      <c r="U32" s="1387">
        <f t="shared" si="10"/>
        <v>100</v>
      </c>
      <c r="V32" s="1386" t="s">
        <v>5</v>
      </c>
      <c r="W32" s="1387">
        <f t="shared" si="11"/>
        <v>100</v>
      </c>
      <c r="X32" s="1380"/>
      <c r="Y32" s="390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05"/>
      <c r="Q33" s="1414" t="str">
        <f t="shared" si="8"/>
        <v>项目建筑规模</v>
      </c>
      <c r="R33" s="1390" t="s">
        <v>5</v>
      </c>
      <c r="S33" s="1391" t="e">
        <f t="shared" si="9"/>
        <v>#N/A</v>
      </c>
      <c r="T33" s="1390" t="s">
        <v>5</v>
      </c>
      <c r="U33" s="1391" t="e">
        <f t="shared" si="10"/>
        <v>#N/A</v>
      </c>
      <c r="V33" s="1390" t="s">
        <v>5</v>
      </c>
      <c r="W33" s="1391" t="e">
        <f t="shared" si="11"/>
        <v>#N/A</v>
      </c>
      <c r="X33" s="1392"/>
      <c r="Y33" s="390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05"/>
      <c r="Q34" s="1385" t="str">
        <f t="shared" si="8"/>
        <v>建筑结构</v>
      </c>
      <c r="R34" s="1386" t="s">
        <v>5</v>
      </c>
      <c r="S34" s="1387">
        <f t="shared" si="9"/>
        <v>100</v>
      </c>
      <c r="T34" s="1386" t="s">
        <v>5</v>
      </c>
      <c r="U34" s="1387">
        <f t="shared" si="10"/>
        <v>100</v>
      </c>
      <c r="V34" s="1386" t="s">
        <v>5</v>
      </c>
      <c r="W34" s="1387">
        <f t="shared" si="11"/>
        <v>100</v>
      </c>
      <c r="X34" s="1380"/>
      <c r="Y34" s="390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05"/>
      <c r="Q35" s="1385" t="str">
        <f t="shared" si="8"/>
        <v>公共部分装修</v>
      </c>
      <c r="R35" s="1386" t="s">
        <v>5</v>
      </c>
      <c r="S35" s="1387">
        <f t="shared" si="9"/>
        <v>100</v>
      </c>
      <c r="T35" s="1386" t="s">
        <v>5</v>
      </c>
      <c r="U35" s="1387">
        <f t="shared" si="10"/>
        <v>100</v>
      </c>
      <c r="V35" s="1386" t="s">
        <v>5</v>
      </c>
      <c r="W35" s="1387">
        <f t="shared" si="11"/>
        <v>100</v>
      </c>
      <c r="X35" s="1380"/>
      <c r="Y35" s="390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05"/>
      <c r="Q36" s="1385" t="str">
        <f t="shared" si="8"/>
        <v>成新度</v>
      </c>
      <c r="R36" s="1386" t="s">
        <v>5</v>
      </c>
      <c r="S36" s="1387" t="e">
        <f t="shared" si="9"/>
        <v>#N/A</v>
      </c>
      <c r="T36" s="1386" t="s">
        <v>5</v>
      </c>
      <c r="U36" s="1387" t="e">
        <f t="shared" si="10"/>
        <v>#N/A</v>
      </c>
      <c r="V36" s="1386" t="s">
        <v>5</v>
      </c>
      <c r="W36" s="1387" t="e">
        <f t="shared" si="11"/>
        <v>#N/A</v>
      </c>
      <c r="X36" s="1380"/>
      <c r="Y36" s="3905"/>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05"/>
      <c r="Q37" s="1050" t="str">
        <f t="shared" si="8"/>
        <v>市政基础设施</v>
      </c>
      <c r="R37" s="1381" t="s">
        <v>5</v>
      </c>
      <c r="S37" s="1382">
        <f t="shared" si="9"/>
        <v>100</v>
      </c>
      <c r="T37" s="1381" t="s">
        <v>5</v>
      </c>
      <c r="U37" s="1382">
        <f t="shared" si="10"/>
        <v>100</v>
      </c>
      <c r="V37" s="1381" t="s">
        <v>5</v>
      </c>
      <c r="W37" s="1382">
        <f t="shared" si="11"/>
        <v>100</v>
      </c>
      <c r="X37" s="1383"/>
      <c r="Y37" s="390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05" t="s">
        <v>706</v>
      </c>
      <c r="Q38" s="1385" t="str">
        <f t="shared" si="8"/>
        <v>业态</v>
      </c>
      <c r="R38" s="1386" t="s">
        <v>5</v>
      </c>
      <c r="S38" s="1387">
        <f t="shared" si="9"/>
        <v>100</v>
      </c>
      <c r="T38" s="1386" t="s">
        <v>5</v>
      </c>
      <c r="U38" s="1387">
        <f t="shared" si="10"/>
        <v>100</v>
      </c>
      <c r="V38" s="1386" t="s">
        <v>5</v>
      </c>
      <c r="W38" s="1387">
        <f t="shared" si="11"/>
        <v>100</v>
      </c>
      <c r="X38" s="1380"/>
      <c r="Y38" s="390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05"/>
      <c r="Q39" s="1385" t="str">
        <f t="shared" si="8"/>
        <v>层高</v>
      </c>
      <c r="R39" s="1386" t="s">
        <v>5</v>
      </c>
      <c r="S39" s="1387">
        <f t="shared" si="9"/>
        <v>100</v>
      </c>
      <c r="T39" s="1386" t="s">
        <v>5</v>
      </c>
      <c r="U39" s="1387">
        <f t="shared" si="10"/>
        <v>100</v>
      </c>
      <c r="V39" s="1386" t="s">
        <v>5</v>
      </c>
      <c r="W39" s="1387">
        <f t="shared" si="11"/>
        <v>100</v>
      </c>
      <c r="X39" s="1380"/>
      <c r="Y39" s="390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05"/>
      <c r="Q40" s="1385" t="str">
        <f t="shared" si="8"/>
        <v>单套建筑面积</v>
      </c>
      <c r="R40" s="1386" t="s">
        <v>5</v>
      </c>
      <c r="S40" s="1387">
        <f t="shared" si="9"/>
        <v>100</v>
      </c>
      <c r="T40" s="1386" t="s">
        <v>5</v>
      </c>
      <c r="U40" s="1387">
        <f t="shared" si="10"/>
        <v>100</v>
      </c>
      <c r="V40" s="1386" t="s">
        <v>5</v>
      </c>
      <c r="W40" s="1387">
        <f t="shared" si="11"/>
        <v>100</v>
      </c>
      <c r="X40" s="1380"/>
      <c r="Y40" s="390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05"/>
      <c r="Q41" s="1414" t="str">
        <f t="shared" si="8"/>
        <v>进深比</v>
      </c>
      <c r="R41" s="1390" t="s">
        <v>5</v>
      </c>
      <c r="S41" s="1391">
        <f t="shared" si="9"/>
        <v>100</v>
      </c>
      <c r="T41" s="1390" t="s">
        <v>5</v>
      </c>
      <c r="U41" s="1391">
        <f t="shared" si="10"/>
        <v>100</v>
      </c>
      <c r="V41" s="1390" t="s">
        <v>5</v>
      </c>
      <c r="W41" s="1391">
        <f t="shared" si="11"/>
        <v>100</v>
      </c>
      <c r="X41" s="1392"/>
      <c r="Y41" s="390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05"/>
      <c r="Q42" s="1385" t="str">
        <f t="shared" si="8"/>
        <v>内部装修</v>
      </c>
      <c r="R42" s="1386" t="s">
        <v>5</v>
      </c>
      <c r="S42" s="1387">
        <f t="shared" si="9"/>
        <v>100</v>
      </c>
      <c r="T42" s="1386" t="s">
        <v>5</v>
      </c>
      <c r="U42" s="1387">
        <f t="shared" si="10"/>
        <v>100</v>
      </c>
      <c r="V42" s="1386" t="s">
        <v>5</v>
      </c>
      <c r="W42" s="1387">
        <f t="shared" si="11"/>
        <v>100</v>
      </c>
      <c r="X42" s="1380"/>
      <c r="Y42" s="3905"/>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05"/>
      <c r="Q43" s="1385" t="str">
        <f t="shared" si="8"/>
        <v>内部装修维护情况</v>
      </c>
      <c r="R43" s="1386" t="s">
        <v>5</v>
      </c>
      <c r="S43" s="1387">
        <f t="shared" si="9"/>
        <v>100</v>
      </c>
      <c r="T43" s="1386" t="s">
        <v>5</v>
      </c>
      <c r="U43" s="1387">
        <f t="shared" si="10"/>
        <v>100</v>
      </c>
      <c r="V43" s="1386" t="s">
        <v>5</v>
      </c>
      <c r="W43" s="1387">
        <f t="shared" si="11"/>
        <v>100</v>
      </c>
      <c r="X43" s="1380"/>
      <c r="Y43" s="390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05"/>
      <c r="Q44" s="1050">
        <f t="shared" si="8"/>
        <v>111</v>
      </c>
      <c r="R44" s="1381" t="s">
        <v>5</v>
      </c>
      <c r="S44" s="1382">
        <f t="shared" si="9"/>
        <v>100</v>
      </c>
      <c r="T44" s="1381" t="s">
        <v>5</v>
      </c>
      <c r="U44" s="1382">
        <f t="shared" si="10"/>
        <v>100</v>
      </c>
      <c r="V44" s="1381" t="s">
        <v>5</v>
      </c>
      <c r="W44" s="1382">
        <f t="shared" si="11"/>
        <v>100</v>
      </c>
      <c r="X44" s="1383"/>
      <c r="Y44" s="390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05"/>
      <c r="Q45" s="1385">
        <f t="shared" si="8"/>
        <v>111</v>
      </c>
      <c r="R45" s="1386" t="s">
        <v>5</v>
      </c>
      <c r="S45" s="1387">
        <f t="shared" si="9"/>
        <v>100</v>
      </c>
      <c r="T45" s="1386" t="s">
        <v>5</v>
      </c>
      <c r="U45" s="1387">
        <f t="shared" si="10"/>
        <v>100</v>
      </c>
      <c r="V45" s="1386" t="s">
        <v>5</v>
      </c>
      <c r="W45" s="1387">
        <f t="shared" si="11"/>
        <v>100</v>
      </c>
      <c r="X45" s="1380"/>
      <c r="Y45" s="3905"/>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8"/>
      <c r="Q46" s="1385">
        <f t="shared" si="8"/>
        <v>111</v>
      </c>
      <c r="R46" s="1386" t="s">
        <v>5</v>
      </c>
      <c r="S46" s="1387">
        <f t="shared" si="9"/>
        <v>100</v>
      </c>
      <c r="T46" s="1386" t="s">
        <v>5</v>
      </c>
      <c r="U46" s="1387">
        <f t="shared" si="10"/>
        <v>100</v>
      </c>
      <c r="V46" s="1386" t="s">
        <v>5</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00" t="str">
        <f>A47</f>
        <v>成交单价（元/平方米）</v>
      </c>
      <c r="Q47" s="3900"/>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00" t="str">
        <f>A48</f>
        <v>比较价格（元/平方米）</v>
      </c>
      <c r="Q48" s="3900"/>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06" t="str">
        <f>A49</f>
        <v>估价对象XX用房的比较价格（楼面单价，元/平方米）</v>
      </c>
      <c r="Q49" s="3907"/>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185600平方米。根据《建设工程规划许可证》[]、《出让合同》[]，估价对象规划建筑面积为371200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根据《国有土地使用证》[]，估价对象（分摊）出让国有建设用地使用权面积为185600平方米。根据《建设工程规划许可证》[]、《出让合同》[]，估价对象规划建筑面积为371200平方米。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908" t="s">
        <v>471</v>
      </c>
      <c r="D4" s="3909"/>
      <c r="E4" s="3930" t="s">
        <v>472</v>
      </c>
      <c r="F4" s="3931"/>
      <c r="G4" s="3908" t="s">
        <v>473</v>
      </c>
      <c r="H4" s="3909"/>
      <c r="I4" s="3908" t="s">
        <v>474</v>
      </c>
      <c r="J4" s="3909"/>
      <c r="K4" s="484" t="s">
        <v>475</v>
      </c>
      <c r="L4" s="1856"/>
      <c r="M4" s="1857"/>
      <c r="N4" s="1857"/>
      <c r="O4" s="1857"/>
      <c r="P4" s="3999" t="s">
        <v>476</v>
      </c>
      <c r="Q4" s="3911"/>
      <c r="R4" s="3894" t="s">
        <v>472</v>
      </c>
      <c r="S4" s="3895"/>
      <c r="T4" s="3894" t="s">
        <v>473</v>
      </c>
      <c r="U4" s="3895"/>
      <c r="V4" s="3916" t="s">
        <v>474</v>
      </c>
      <c r="W4" s="3916"/>
      <c r="X4" s="1380"/>
      <c r="Y4" s="3894" t="s">
        <v>476</v>
      </c>
      <c r="Z4" s="3895"/>
      <c r="AA4" s="3889" t="s">
        <v>472</v>
      </c>
      <c r="AB4" s="3889" t="s">
        <v>473</v>
      </c>
      <c r="AC4" s="3889" t="s">
        <v>474</v>
      </c>
    </row>
    <row r="5" spans="1:29" ht="15">
      <c r="A5" s="485"/>
      <c r="B5" s="486"/>
      <c r="C5" s="3919" t="s">
        <v>2192</v>
      </c>
      <c r="D5" s="3920"/>
      <c r="E5" s="3932" t="s">
        <v>2193</v>
      </c>
      <c r="F5" s="3933"/>
      <c r="G5" s="3919" t="s">
        <v>2194</v>
      </c>
      <c r="H5" s="3920"/>
      <c r="I5" s="3919" t="s">
        <v>2195</v>
      </c>
      <c r="J5" s="3920"/>
      <c r="K5" s="484"/>
      <c r="L5" s="1856"/>
      <c r="M5" s="1857"/>
      <c r="N5" s="1857"/>
      <c r="O5" s="1857"/>
      <c r="P5" s="4000"/>
      <c r="Q5" s="3913"/>
      <c r="R5" s="3896"/>
      <c r="S5" s="3897"/>
      <c r="T5" s="3896"/>
      <c r="U5" s="3897"/>
      <c r="V5" s="3916"/>
      <c r="W5" s="3916"/>
      <c r="X5" s="1380"/>
      <c r="Y5" s="3896"/>
      <c r="Z5" s="3897"/>
      <c r="AA5" s="3890"/>
      <c r="AB5" s="3890"/>
      <c r="AC5" s="3890"/>
    </row>
    <row r="6" spans="1:29" ht="15.75" thickBot="1">
      <c r="A6" s="487"/>
      <c r="B6" s="488"/>
      <c r="C6" s="3917" t="s">
        <v>2196</v>
      </c>
      <c r="D6" s="3918"/>
      <c r="E6" s="3934" t="s">
        <v>2196</v>
      </c>
      <c r="F6" s="3935"/>
      <c r="G6" s="3917" t="s">
        <v>2196</v>
      </c>
      <c r="H6" s="3918"/>
      <c r="I6" s="3917" t="s">
        <v>2196</v>
      </c>
      <c r="J6" s="3918"/>
      <c r="K6" s="484" t="s">
        <v>477</v>
      </c>
      <c r="L6" s="1856"/>
      <c r="M6" s="1857"/>
      <c r="N6" s="1857"/>
      <c r="O6" s="1857"/>
      <c r="P6" s="4001"/>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01"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01" t="s">
        <v>482</v>
      </c>
      <c r="Q8" s="3893"/>
      <c r="R8" s="1381" t="s">
        <v>5</v>
      </c>
      <c r="S8" s="1382">
        <f t="shared" si="0"/>
        <v>0</v>
      </c>
      <c r="T8" s="1381" t="s">
        <v>5</v>
      </c>
      <c r="U8" s="1382">
        <f t="shared" si="1"/>
        <v>0</v>
      </c>
      <c r="V8" s="1381" t="s">
        <v>5</v>
      </c>
      <c r="W8" s="1382">
        <f t="shared" si="2"/>
        <v>0</v>
      </c>
      <c r="X8" s="1383"/>
      <c r="Y8" s="3892" t="s">
        <v>482</v>
      </c>
      <c r="Z8" s="3893"/>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02" t="s">
        <v>489</v>
      </c>
      <c r="Q15" s="1385" t="str">
        <f t="shared" si="6"/>
        <v>办公集聚程度</v>
      </c>
      <c r="R15" s="1386" t="s">
        <v>5</v>
      </c>
      <c r="S15" s="1387">
        <f t="shared" si="0"/>
        <v>100</v>
      </c>
      <c r="T15" s="1386" t="s">
        <v>5</v>
      </c>
      <c r="U15" s="1387">
        <f t="shared" si="1"/>
        <v>100</v>
      </c>
      <c r="V15" s="1386" t="s">
        <v>5</v>
      </c>
      <c r="W15" s="1387">
        <f t="shared" si="2"/>
        <v>100</v>
      </c>
      <c r="X15" s="1380"/>
      <c r="Y15" s="390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03"/>
      <c r="Q16" s="1385"/>
      <c r="R16" s="1386"/>
      <c r="S16" s="1387"/>
      <c r="T16" s="1386"/>
      <c r="U16" s="1387"/>
      <c r="V16" s="1386"/>
      <c r="W16" s="1387"/>
      <c r="X16" s="1380"/>
      <c r="Y16" s="3903"/>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03"/>
      <c r="Q18" s="1385"/>
      <c r="R18" s="1386"/>
      <c r="S18" s="1387"/>
      <c r="T18" s="1386"/>
      <c r="U18" s="1387"/>
      <c r="V18" s="1386"/>
      <c r="W18" s="1387"/>
      <c r="X18" s="1380"/>
      <c r="Y18" s="3903"/>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03"/>
      <c r="Q20" s="1385"/>
      <c r="R20" s="1386"/>
      <c r="S20" s="1387"/>
      <c r="T20" s="1386"/>
      <c r="U20" s="1387"/>
      <c r="V20" s="1386"/>
      <c r="W20" s="1387"/>
      <c r="X20" s="1380"/>
      <c r="Y20" s="3903"/>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03"/>
      <c r="Q22" s="2193"/>
      <c r="R22" s="1386"/>
      <c r="S22" s="1387"/>
      <c r="T22" s="1386"/>
      <c r="U22" s="1387"/>
      <c r="V22" s="1386"/>
      <c r="W22" s="1387"/>
      <c r="X22" s="2195"/>
      <c r="Y22" s="3903"/>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03"/>
      <c r="Q23" s="1385" t="str">
        <f>B23</f>
        <v>环境质量</v>
      </c>
      <c r="R23" s="1386" t="s">
        <v>5</v>
      </c>
      <c r="S23" s="1387">
        <f>F23</f>
        <v>100</v>
      </c>
      <c r="T23" s="1386" t="s">
        <v>5</v>
      </c>
      <c r="U23" s="1387">
        <f>H23</f>
        <v>100</v>
      </c>
      <c r="V23" s="1386" t="s">
        <v>5</v>
      </c>
      <c r="W23" s="1387">
        <f>J23</f>
        <v>100</v>
      </c>
      <c r="X23" s="1380"/>
      <c r="Y23" s="390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03"/>
      <c r="Q24" s="1385"/>
      <c r="R24" s="1386"/>
      <c r="S24" s="1387"/>
      <c r="T24" s="1386"/>
      <c r="U24" s="1387"/>
      <c r="V24" s="1386"/>
      <c r="W24" s="1387"/>
      <c r="X24" s="1380"/>
      <c r="Y24" s="3903"/>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03"/>
      <c r="Q25" s="1385" t="str">
        <f>B25</f>
        <v>毗邻道路的类型与等级</v>
      </c>
      <c r="R25" s="1386" t="s">
        <v>5</v>
      </c>
      <c r="S25" s="1387">
        <f>F25</f>
        <v>100</v>
      </c>
      <c r="T25" s="1386" t="s">
        <v>5</v>
      </c>
      <c r="U25" s="1387">
        <f>H25</f>
        <v>100</v>
      </c>
      <c r="V25" s="1386" t="s">
        <v>5</v>
      </c>
      <c r="W25" s="1387">
        <f>J25</f>
        <v>100</v>
      </c>
      <c r="X25" s="1380"/>
      <c r="Y25" s="390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03"/>
      <c r="Q26" s="1385"/>
      <c r="R26" s="1386"/>
      <c r="S26" s="1387"/>
      <c r="T26" s="1386"/>
      <c r="U26" s="1387"/>
      <c r="V26" s="1386"/>
      <c r="W26" s="1387"/>
      <c r="X26" s="1380"/>
      <c r="Y26" s="390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03"/>
      <c r="Q27" s="1385" t="str">
        <f t="shared" ref="Q27:Q47" si="8">B27</f>
        <v>楼层</v>
      </c>
      <c r="R27" s="1386" t="s">
        <v>5</v>
      </c>
      <c r="S27" s="1387">
        <f>F27</f>
        <v>100</v>
      </c>
      <c r="T27" s="1386" t="s">
        <v>5</v>
      </c>
      <c r="U27" s="1387">
        <f>H27</f>
        <v>100</v>
      </c>
      <c r="V27" s="1386" t="s">
        <v>5</v>
      </c>
      <c r="W27" s="1387">
        <f>J27</f>
        <v>100</v>
      </c>
      <c r="X27" s="1380"/>
      <c r="Y27" s="390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03"/>
      <c r="Q28" s="1050" t="str">
        <f t="shared" si="8"/>
        <v>朝向</v>
      </c>
      <c r="R28" s="1381" t="s">
        <v>5</v>
      </c>
      <c r="S28" s="1382">
        <f>F28</f>
        <v>100</v>
      </c>
      <c r="T28" s="1381" t="s">
        <v>5</v>
      </c>
      <c r="U28" s="1382">
        <f>H28</f>
        <v>100</v>
      </c>
      <c r="V28" s="1381" t="s">
        <v>5</v>
      </c>
      <c r="W28" s="1382">
        <f>J28</f>
        <v>100</v>
      </c>
      <c r="X28" s="1383"/>
      <c r="Y28" s="390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03"/>
      <c r="Q29" s="1385">
        <f t="shared" si="8"/>
        <v>111</v>
      </c>
      <c r="R29" s="1386" t="s">
        <v>5</v>
      </c>
      <c r="S29" s="1387">
        <f t="shared" ref="S29:S47" si="9">F29</f>
        <v>100</v>
      </c>
      <c r="T29" s="1386" t="s">
        <v>5</v>
      </c>
      <c r="U29" s="1387">
        <f t="shared" ref="U29:U47" si="10">H29</f>
        <v>100</v>
      </c>
      <c r="V29" s="1386" t="s">
        <v>5</v>
      </c>
      <c r="W29" s="1387">
        <f t="shared" ref="W29:W47" si="11">J29</f>
        <v>100</v>
      </c>
      <c r="X29" s="1380"/>
      <c r="Y29" s="390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03"/>
      <c r="Q30" s="1385">
        <f t="shared" si="8"/>
        <v>111</v>
      </c>
      <c r="R30" s="1386" t="s">
        <v>5</v>
      </c>
      <c r="S30" s="1387">
        <f t="shared" si="9"/>
        <v>100</v>
      </c>
      <c r="T30" s="1386" t="s">
        <v>5</v>
      </c>
      <c r="U30" s="1387">
        <f t="shared" si="10"/>
        <v>100</v>
      </c>
      <c r="V30" s="1386" t="s">
        <v>5</v>
      </c>
      <c r="W30" s="1387">
        <f t="shared" si="11"/>
        <v>100</v>
      </c>
      <c r="X30" s="1380"/>
      <c r="Y30" s="390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03"/>
      <c r="Q31" s="1385">
        <f t="shared" si="8"/>
        <v>111</v>
      </c>
      <c r="R31" s="1386" t="s">
        <v>5</v>
      </c>
      <c r="S31" s="1387">
        <f t="shared" si="9"/>
        <v>100</v>
      </c>
      <c r="T31" s="1386" t="s">
        <v>5</v>
      </c>
      <c r="U31" s="1387">
        <f t="shared" si="10"/>
        <v>100</v>
      </c>
      <c r="V31" s="1386" t="s">
        <v>5</v>
      </c>
      <c r="W31" s="1387">
        <f t="shared" si="11"/>
        <v>100</v>
      </c>
      <c r="X31" s="1380"/>
      <c r="Y31" s="3903"/>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03"/>
      <c r="Q32" s="1385">
        <f t="shared" si="8"/>
        <v>111</v>
      </c>
      <c r="R32" s="1386" t="s">
        <v>5</v>
      </c>
      <c r="S32" s="1387">
        <f t="shared" si="9"/>
        <v>100</v>
      </c>
      <c r="T32" s="1386" t="s">
        <v>5</v>
      </c>
      <c r="U32" s="1387">
        <f t="shared" si="10"/>
        <v>100</v>
      </c>
      <c r="V32" s="1386" t="s">
        <v>5</v>
      </c>
      <c r="W32" s="1387">
        <f t="shared" si="11"/>
        <v>100</v>
      </c>
      <c r="X32" s="1380"/>
      <c r="Y32" s="3903"/>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04" t="s">
        <v>499</v>
      </c>
      <c r="Q33" s="1385" t="str">
        <f t="shared" si="8"/>
        <v>建筑类型</v>
      </c>
      <c r="R33" s="1386" t="s">
        <v>5</v>
      </c>
      <c r="S33" s="1387">
        <f t="shared" si="9"/>
        <v>100</v>
      </c>
      <c r="T33" s="1386" t="s">
        <v>5</v>
      </c>
      <c r="U33" s="1387">
        <f t="shared" si="10"/>
        <v>100</v>
      </c>
      <c r="V33" s="1386" t="s">
        <v>5</v>
      </c>
      <c r="W33" s="1387">
        <f t="shared" si="11"/>
        <v>100</v>
      </c>
      <c r="X33" s="1380"/>
      <c r="Y33" s="390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05"/>
      <c r="Q34" s="1414" t="str">
        <f t="shared" si="8"/>
        <v>项目建筑规模</v>
      </c>
      <c r="R34" s="1390" t="s">
        <v>5</v>
      </c>
      <c r="S34" s="1391" t="e">
        <f t="shared" si="9"/>
        <v>#N/A</v>
      </c>
      <c r="T34" s="1390" t="s">
        <v>5</v>
      </c>
      <c r="U34" s="1391" t="e">
        <f t="shared" si="10"/>
        <v>#N/A</v>
      </c>
      <c r="V34" s="1390" t="s">
        <v>5</v>
      </c>
      <c r="W34" s="1391" t="e">
        <f t="shared" si="11"/>
        <v>#N/A</v>
      </c>
      <c r="X34" s="1392"/>
      <c r="Y34" s="390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05"/>
      <c r="Q35" s="1385" t="str">
        <f t="shared" si="8"/>
        <v>建筑结构</v>
      </c>
      <c r="R35" s="1386" t="s">
        <v>5</v>
      </c>
      <c r="S35" s="1387">
        <f t="shared" si="9"/>
        <v>100</v>
      </c>
      <c r="T35" s="1386" t="s">
        <v>5</v>
      </c>
      <c r="U35" s="1387">
        <f t="shared" si="10"/>
        <v>100</v>
      </c>
      <c r="V35" s="1386" t="s">
        <v>5</v>
      </c>
      <c r="W35" s="1387">
        <f t="shared" si="11"/>
        <v>100</v>
      </c>
      <c r="X35" s="1380"/>
      <c r="Y35" s="390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05"/>
      <c r="Q36" s="1385" t="str">
        <f t="shared" si="8"/>
        <v>公共部分装修</v>
      </c>
      <c r="R36" s="1386" t="s">
        <v>5</v>
      </c>
      <c r="S36" s="1387">
        <f t="shared" si="9"/>
        <v>100</v>
      </c>
      <c r="T36" s="1386" t="s">
        <v>5</v>
      </c>
      <c r="U36" s="1387">
        <f t="shared" si="10"/>
        <v>100</v>
      </c>
      <c r="V36" s="1386" t="s">
        <v>5</v>
      </c>
      <c r="W36" s="1387">
        <f t="shared" si="11"/>
        <v>100</v>
      </c>
      <c r="X36" s="1380"/>
      <c r="Y36" s="390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05"/>
      <c r="Q37" s="1385" t="str">
        <f t="shared" si="8"/>
        <v>成新度</v>
      </c>
      <c r="R37" s="1386" t="s">
        <v>5</v>
      </c>
      <c r="S37" s="1387" t="e">
        <f t="shared" si="9"/>
        <v>#N/A</v>
      </c>
      <c r="T37" s="1386" t="s">
        <v>5</v>
      </c>
      <c r="U37" s="1387" t="e">
        <f t="shared" si="10"/>
        <v>#N/A</v>
      </c>
      <c r="V37" s="1386" t="s">
        <v>5</v>
      </c>
      <c r="W37" s="1387" t="e">
        <f t="shared" si="11"/>
        <v>#N/A</v>
      </c>
      <c r="X37" s="1380"/>
      <c r="Y37" s="390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05"/>
      <c r="Q38" s="1050" t="str">
        <f t="shared" si="8"/>
        <v>写字楼等级</v>
      </c>
      <c r="R38" s="1381" t="s">
        <v>5</v>
      </c>
      <c r="S38" s="1382">
        <f t="shared" si="9"/>
        <v>100</v>
      </c>
      <c r="T38" s="1381" t="s">
        <v>5</v>
      </c>
      <c r="U38" s="1382">
        <f t="shared" si="10"/>
        <v>100</v>
      </c>
      <c r="V38" s="1381" t="s">
        <v>5</v>
      </c>
      <c r="W38" s="1382">
        <f t="shared" si="11"/>
        <v>100</v>
      </c>
      <c r="X38" s="1383"/>
      <c r="Y38" s="390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05" t="s">
        <v>499</v>
      </c>
      <c r="Q39" s="1385" t="str">
        <f t="shared" si="8"/>
        <v>物业管理</v>
      </c>
      <c r="R39" s="1386" t="s">
        <v>5</v>
      </c>
      <c r="S39" s="1387">
        <f t="shared" si="9"/>
        <v>100</v>
      </c>
      <c r="T39" s="1386" t="s">
        <v>5</v>
      </c>
      <c r="U39" s="1387">
        <f t="shared" si="10"/>
        <v>100</v>
      </c>
      <c r="V39" s="1386" t="s">
        <v>5</v>
      </c>
      <c r="W39" s="1387">
        <f t="shared" si="11"/>
        <v>100</v>
      </c>
      <c r="X39" s="1380"/>
      <c r="Y39" s="3905"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05"/>
      <c r="Q40" s="1385" t="str">
        <f t="shared" si="8"/>
        <v>市政基础设施</v>
      </c>
      <c r="R40" s="1386" t="s">
        <v>5</v>
      </c>
      <c r="S40" s="1387">
        <f t="shared" si="9"/>
        <v>100</v>
      </c>
      <c r="T40" s="1386" t="s">
        <v>5</v>
      </c>
      <c r="U40" s="1387">
        <f t="shared" si="10"/>
        <v>100</v>
      </c>
      <c r="V40" s="1386" t="s">
        <v>5</v>
      </c>
      <c r="W40" s="1387">
        <f t="shared" si="11"/>
        <v>100</v>
      </c>
      <c r="X40" s="1380"/>
      <c r="Y40" s="390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05"/>
      <c r="Q41" s="1385" t="str">
        <f t="shared" si="8"/>
        <v>层高</v>
      </c>
      <c r="R41" s="1386" t="s">
        <v>5</v>
      </c>
      <c r="S41" s="1387">
        <f t="shared" si="9"/>
        <v>100</v>
      </c>
      <c r="T41" s="1386" t="s">
        <v>5</v>
      </c>
      <c r="U41" s="1387">
        <f t="shared" si="10"/>
        <v>100</v>
      </c>
      <c r="V41" s="1386" t="s">
        <v>5</v>
      </c>
      <c r="W41" s="1387">
        <f t="shared" si="11"/>
        <v>100</v>
      </c>
      <c r="X41" s="1380"/>
      <c r="Y41" s="390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05"/>
      <c r="Q42" s="1414" t="str">
        <f t="shared" si="8"/>
        <v>单套建筑面积</v>
      </c>
      <c r="R42" s="1390" t="s">
        <v>5</v>
      </c>
      <c r="S42" s="1391">
        <f t="shared" si="9"/>
        <v>100</v>
      </c>
      <c r="T42" s="1390" t="s">
        <v>5</v>
      </c>
      <c r="U42" s="1391">
        <f t="shared" si="10"/>
        <v>100</v>
      </c>
      <c r="V42" s="1390" t="s">
        <v>5</v>
      </c>
      <c r="W42" s="1391">
        <f t="shared" si="11"/>
        <v>100</v>
      </c>
      <c r="X42" s="1392"/>
      <c r="Y42" s="390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05"/>
      <c r="Q43" s="1385" t="str">
        <f t="shared" si="8"/>
        <v>内部装修</v>
      </c>
      <c r="R43" s="1386" t="s">
        <v>5</v>
      </c>
      <c r="S43" s="1387">
        <f t="shared" si="9"/>
        <v>100</v>
      </c>
      <c r="T43" s="1386" t="s">
        <v>5</v>
      </c>
      <c r="U43" s="1387">
        <f t="shared" si="10"/>
        <v>100</v>
      </c>
      <c r="V43" s="1386" t="s">
        <v>5</v>
      </c>
      <c r="W43" s="1387">
        <f t="shared" si="11"/>
        <v>100</v>
      </c>
      <c r="X43" s="1380"/>
      <c r="Y43" s="3905"/>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05"/>
      <c r="Q44" s="1385" t="str">
        <f t="shared" si="8"/>
        <v>内部装修维护情况</v>
      </c>
      <c r="R44" s="1386" t="s">
        <v>5</v>
      </c>
      <c r="S44" s="1387">
        <f t="shared" si="9"/>
        <v>100</v>
      </c>
      <c r="T44" s="1386" t="s">
        <v>5</v>
      </c>
      <c r="U44" s="1387">
        <f t="shared" si="10"/>
        <v>100</v>
      </c>
      <c r="V44" s="1386" t="s">
        <v>5</v>
      </c>
      <c r="W44" s="1387">
        <f t="shared" si="11"/>
        <v>100</v>
      </c>
      <c r="X44" s="1380"/>
      <c r="Y44" s="390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05"/>
      <c r="Q45" s="1050">
        <f t="shared" si="8"/>
        <v>111</v>
      </c>
      <c r="R45" s="1381" t="s">
        <v>5</v>
      </c>
      <c r="S45" s="1382">
        <f t="shared" si="9"/>
        <v>100</v>
      </c>
      <c r="T45" s="1381" t="s">
        <v>5</v>
      </c>
      <c r="U45" s="1382">
        <f t="shared" si="10"/>
        <v>100</v>
      </c>
      <c r="V45" s="1381" t="s">
        <v>5</v>
      </c>
      <c r="W45" s="1382">
        <f t="shared" si="11"/>
        <v>100</v>
      </c>
      <c r="X45" s="1383"/>
      <c r="Y45" s="390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05"/>
      <c r="Q46" s="1385">
        <f t="shared" si="8"/>
        <v>111</v>
      </c>
      <c r="R46" s="1386" t="s">
        <v>5</v>
      </c>
      <c r="S46" s="1387">
        <f t="shared" si="9"/>
        <v>100</v>
      </c>
      <c r="T46" s="1386" t="s">
        <v>5</v>
      </c>
      <c r="U46" s="1387">
        <f t="shared" si="10"/>
        <v>100</v>
      </c>
      <c r="V46" s="1386" t="s">
        <v>5</v>
      </c>
      <c r="W46" s="1387">
        <f t="shared" si="11"/>
        <v>100</v>
      </c>
      <c r="X46" s="1380"/>
      <c r="Y46" s="3905"/>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8"/>
      <c r="Q47" s="1385">
        <f t="shared" si="8"/>
        <v>111</v>
      </c>
      <c r="R47" s="1386" t="s">
        <v>5</v>
      </c>
      <c r="S47" s="1387">
        <f t="shared" si="9"/>
        <v>100</v>
      </c>
      <c r="T47" s="1386" t="s">
        <v>5</v>
      </c>
      <c r="U47" s="1387">
        <f t="shared" si="10"/>
        <v>100</v>
      </c>
      <c r="V47" s="1386" t="s">
        <v>5</v>
      </c>
      <c r="W47" s="1387">
        <f t="shared" si="11"/>
        <v>100</v>
      </c>
      <c r="X47" s="1380"/>
      <c r="Y47" s="3998"/>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07" t="str">
        <f>A48</f>
        <v>成交单价（元/平方米）</v>
      </c>
      <c r="Q48" s="3900"/>
      <c r="R48" s="3997">
        <f>E48</f>
        <v>0</v>
      </c>
      <c r="S48" s="3997"/>
      <c r="T48" s="3997">
        <f>G48</f>
        <v>0</v>
      </c>
      <c r="U48" s="3997"/>
      <c r="V48" s="3997">
        <f>I48</f>
        <v>0</v>
      </c>
      <c r="W48" s="3997"/>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07" t="str">
        <f>A49</f>
        <v>比较价格（元/平方米）</v>
      </c>
      <c r="Q49" s="3900"/>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002" t="str">
        <f>A50</f>
        <v>估价对象XX用房的比较价格（楼面单价，元/平方米）</v>
      </c>
      <c r="Q50" s="3907"/>
      <c r="R50" s="3996" t="e">
        <f>IF(F1="售价",ROUND(IF(D49="简单平均",AVERAGE(R49:V49),R49*F49+T49*H49+V49*J49),0),ROUND(IF(D49="简单平均",AVERAGE(R49:V49),R49*F49+T49*H49+V49*J49),1))</f>
        <v>#DIV/0!</v>
      </c>
      <c r="S50" s="3996"/>
      <c r="T50" s="3996"/>
      <c r="U50" s="3996"/>
      <c r="V50" s="3996"/>
      <c r="W50" s="399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908" t="s">
        <v>471</v>
      </c>
      <c r="D4" s="3909"/>
      <c r="E4" s="3930" t="s">
        <v>472</v>
      </c>
      <c r="F4" s="3931"/>
      <c r="G4" s="3908" t="s">
        <v>473</v>
      </c>
      <c r="H4" s="3909"/>
      <c r="I4" s="3908" t="s">
        <v>474</v>
      </c>
      <c r="J4" s="3909"/>
      <c r="K4" s="484"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890" t="s">
        <v>473</v>
      </c>
      <c r="AC4" s="3889" t="s">
        <v>474</v>
      </c>
    </row>
    <row r="5" spans="1:29" ht="15">
      <c r="A5" s="485"/>
      <c r="B5" s="486"/>
      <c r="C5" s="3919" t="s">
        <v>2192</v>
      </c>
      <c r="D5" s="3920"/>
      <c r="E5" s="3932" t="s">
        <v>2193</v>
      </c>
      <c r="F5" s="3933"/>
      <c r="G5" s="3919" t="s">
        <v>2194</v>
      </c>
      <c r="H5" s="3920"/>
      <c r="I5" s="3919" t="s">
        <v>2195</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2196</v>
      </c>
      <c r="D6" s="3918"/>
      <c r="E6" s="3934" t="s">
        <v>2196</v>
      </c>
      <c r="F6" s="3935"/>
      <c r="G6" s="3917" t="s">
        <v>2196</v>
      </c>
      <c r="H6" s="3918"/>
      <c r="I6" s="3917" t="s">
        <v>2196</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92"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02" t="s">
        <v>489</v>
      </c>
      <c r="Q15" s="1385" t="str">
        <f t="shared" si="6"/>
        <v>产业集聚程度</v>
      </c>
      <c r="R15" s="1386" t="s">
        <v>5</v>
      </c>
      <c r="S15" s="1387">
        <f t="shared" si="0"/>
        <v>100</v>
      </c>
      <c r="T15" s="1386" t="s">
        <v>5</v>
      </c>
      <c r="U15" s="1387">
        <f t="shared" si="1"/>
        <v>100</v>
      </c>
      <c r="V15" s="1386" t="s">
        <v>5</v>
      </c>
      <c r="W15" s="1387">
        <f t="shared" si="2"/>
        <v>100</v>
      </c>
      <c r="X15" s="1380"/>
      <c r="Y15" s="390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03"/>
      <c r="Q22" s="2193"/>
      <c r="R22" s="1386"/>
      <c r="S22" s="1387"/>
      <c r="T22" s="1386"/>
      <c r="U22" s="1387"/>
      <c r="V22" s="1386"/>
      <c r="W22" s="1387"/>
      <c r="X22" s="2195"/>
      <c r="Y22" s="3903"/>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03"/>
      <c r="Q23" s="1385" t="str">
        <f>B23</f>
        <v>环境质量</v>
      </c>
      <c r="R23" s="1386" t="s">
        <v>5</v>
      </c>
      <c r="S23" s="1387">
        <f>F23</f>
        <v>100</v>
      </c>
      <c r="T23" s="1386" t="s">
        <v>5</v>
      </c>
      <c r="U23" s="1387">
        <f>H23</f>
        <v>100</v>
      </c>
      <c r="V23" s="1386" t="s">
        <v>5</v>
      </c>
      <c r="W23" s="1387">
        <f>J23</f>
        <v>100</v>
      </c>
      <c r="X23" s="1380"/>
      <c r="Y23" s="390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03"/>
      <c r="Q25" s="1385">
        <f>B25</f>
        <v>111</v>
      </c>
      <c r="R25" s="1386" t="s">
        <v>5</v>
      </c>
      <c r="S25" s="1387">
        <f>F25</f>
        <v>100</v>
      </c>
      <c r="T25" s="1386" t="s">
        <v>5</v>
      </c>
      <c r="U25" s="1387">
        <f>H25</f>
        <v>100</v>
      </c>
      <c r="V25" s="1386" t="s">
        <v>5</v>
      </c>
      <c r="W25" s="1387">
        <f>J25</f>
        <v>100</v>
      </c>
      <c r="X25" s="1380"/>
      <c r="Y25" s="390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03"/>
      <c r="Q26" s="1385">
        <f t="shared" ref="Q26:Q40" si="8">B26</f>
        <v>111</v>
      </c>
      <c r="R26" s="1386" t="s">
        <v>5</v>
      </c>
      <c r="S26" s="1387">
        <f>F26</f>
        <v>100</v>
      </c>
      <c r="T26" s="1386" t="s">
        <v>5</v>
      </c>
      <c r="U26" s="1387">
        <f>H26</f>
        <v>100</v>
      </c>
      <c r="V26" s="1386" t="s">
        <v>5</v>
      </c>
      <c r="W26" s="1387">
        <f>J26</f>
        <v>100</v>
      </c>
      <c r="X26" s="1380"/>
      <c r="Y26" s="390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03"/>
      <c r="Q27" s="1050">
        <f t="shared" si="8"/>
        <v>111</v>
      </c>
      <c r="R27" s="1381" t="s">
        <v>5</v>
      </c>
      <c r="S27" s="1382">
        <f>F27</f>
        <v>100</v>
      </c>
      <c r="T27" s="1381" t="s">
        <v>5</v>
      </c>
      <c r="U27" s="1382">
        <f>H27</f>
        <v>100</v>
      </c>
      <c r="V27" s="1381" t="s">
        <v>5</v>
      </c>
      <c r="W27" s="1382">
        <f>J27</f>
        <v>100</v>
      </c>
      <c r="X27" s="1383"/>
      <c r="Y27" s="3903"/>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03"/>
      <c r="Q28" s="1385">
        <f t="shared" si="8"/>
        <v>111</v>
      </c>
      <c r="R28" s="1386" t="s">
        <v>5</v>
      </c>
      <c r="S28" s="1387">
        <f t="shared" ref="S28:S40" si="9">F28</f>
        <v>100</v>
      </c>
      <c r="T28" s="1386" t="s">
        <v>5</v>
      </c>
      <c r="U28" s="1387">
        <f t="shared" ref="U28:U40" si="10">H28</f>
        <v>100</v>
      </c>
      <c r="V28" s="1386" t="s">
        <v>5</v>
      </c>
      <c r="W28" s="1387">
        <f t="shared" ref="W28:W40" si="11">J28</f>
        <v>100</v>
      </c>
      <c r="X28" s="1380"/>
      <c r="Y28" s="3903"/>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04" t="s">
        <v>499</v>
      </c>
      <c r="Q29" s="1385" t="str">
        <f t="shared" si="8"/>
        <v>建筑类型</v>
      </c>
      <c r="R29" s="1386" t="s">
        <v>5</v>
      </c>
      <c r="S29" s="1387">
        <f t="shared" si="9"/>
        <v>100</v>
      </c>
      <c r="T29" s="1386" t="s">
        <v>5</v>
      </c>
      <c r="U29" s="1387">
        <f t="shared" si="10"/>
        <v>100</v>
      </c>
      <c r="V29" s="1386" t="s">
        <v>5</v>
      </c>
      <c r="W29" s="1387">
        <f t="shared" si="11"/>
        <v>100</v>
      </c>
      <c r="X29" s="1380"/>
      <c r="Y29" s="390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05"/>
      <c r="Q30" s="1414" t="str">
        <f t="shared" si="8"/>
        <v>项目建筑规模</v>
      </c>
      <c r="R30" s="1390" t="s">
        <v>5</v>
      </c>
      <c r="S30" s="1391" t="e">
        <f t="shared" si="9"/>
        <v>#N/A</v>
      </c>
      <c r="T30" s="1390" t="s">
        <v>5</v>
      </c>
      <c r="U30" s="1391" t="e">
        <f t="shared" si="10"/>
        <v>#N/A</v>
      </c>
      <c r="V30" s="1390" t="s">
        <v>5</v>
      </c>
      <c r="W30" s="1391" t="e">
        <f t="shared" si="11"/>
        <v>#N/A</v>
      </c>
      <c r="X30" s="1392"/>
      <c r="Y30" s="390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05"/>
      <c r="Q31" s="1385" t="str">
        <f t="shared" si="8"/>
        <v>建筑结构</v>
      </c>
      <c r="R31" s="1386" t="s">
        <v>5</v>
      </c>
      <c r="S31" s="1387">
        <f t="shared" si="9"/>
        <v>100</v>
      </c>
      <c r="T31" s="1386" t="s">
        <v>5</v>
      </c>
      <c r="U31" s="1387">
        <f t="shared" si="10"/>
        <v>100</v>
      </c>
      <c r="V31" s="1386" t="s">
        <v>5</v>
      </c>
      <c r="W31" s="1387">
        <f t="shared" si="11"/>
        <v>100</v>
      </c>
      <c r="X31" s="1380"/>
      <c r="Y31" s="390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05"/>
      <c r="Q32" s="1385" t="str">
        <f t="shared" si="8"/>
        <v>公共部分装修</v>
      </c>
      <c r="R32" s="1386" t="s">
        <v>5</v>
      </c>
      <c r="S32" s="1387">
        <f t="shared" si="9"/>
        <v>100</v>
      </c>
      <c r="T32" s="1386" t="s">
        <v>5</v>
      </c>
      <c r="U32" s="1387">
        <f t="shared" si="10"/>
        <v>100</v>
      </c>
      <c r="V32" s="1386" t="s">
        <v>5</v>
      </c>
      <c r="W32" s="1387">
        <f t="shared" si="11"/>
        <v>100</v>
      </c>
      <c r="X32" s="1380"/>
      <c r="Y32" s="390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05"/>
      <c r="Q33" s="1385" t="str">
        <f t="shared" si="8"/>
        <v>成新度</v>
      </c>
      <c r="R33" s="1386" t="s">
        <v>5</v>
      </c>
      <c r="S33" s="1387" t="e">
        <f t="shared" si="9"/>
        <v>#N/A</v>
      </c>
      <c r="T33" s="1386" t="s">
        <v>5</v>
      </c>
      <c r="U33" s="1387" t="e">
        <f t="shared" si="10"/>
        <v>#N/A</v>
      </c>
      <c r="V33" s="1386" t="s">
        <v>5</v>
      </c>
      <c r="W33" s="1387" t="e">
        <f t="shared" si="11"/>
        <v>#N/A</v>
      </c>
      <c r="X33" s="1380"/>
      <c r="Y33" s="390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05"/>
      <c r="Q34" s="1050" t="str">
        <f t="shared" si="8"/>
        <v>物业管理</v>
      </c>
      <c r="R34" s="1381" t="s">
        <v>5</v>
      </c>
      <c r="S34" s="1382">
        <f t="shared" si="9"/>
        <v>100</v>
      </c>
      <c r="T34" s="1381" t="s">
        <v>5</v>
      </c>
      <c r="U34" s="1382">
        <f t="shared" si="10"/>
        <v>100</v>
      </c>
      <c r="V34" s="1381" t="s">
        <v>5</v>
      </c>
      <c r="W34" s="1382">
        <f t="shared" si="11"/>
        <v>100</v>
      </c>
      <c r="X34" s="1383"/>
      <c r="Y34" s="3905"/>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05" t="s">
        <v>499</v>
      </c>
      <c r="Q35" s="1385" t="str">
        <f t="shared" si="8"/>
        <v>市政基础设施</v>
      </c>
      <c r="R35" s="1386" t="s">
        <v>5</v>
      </c>
      <c r="S35" s="1387">
        <f t="shared" si="9"/>
        <v>100</v>
      </c>
      <c r="T35" s="1386" t="s">
        <v>5</v>
      </c>
      <c r="U35" s="1387">
        <f t="shared" si="10"/>
        <v>100</v>
      </c>
      <c r="V35" s="1386" t="s">
        <v>5</v>
      </c>
      <c r="W35" s="1387">
        <f t="shared" si="11"/>
        <v>100</v>
      </c>
      <c r="X35" s="1380"/>
      <c r="Y35" s="390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05"/>
      <c r="Q36" s="1385" t="str">
        <f t="shared" si="8"/>
        <v>内部装修</v>
      </c>
      <c r="R36" s="1386" t="s">
        <v>5</v>
      </c>
      <c r="S36" s="1387">
        <f t="shared" si="9"/>
        <v>100</v>
      </c>
      <c r="T36" s="1386" t="s">
        <v>5</v>
      </c>
      <c r="U36" s="1387">
        <f t="shared" si="10"/>
        <v>100</v>
      </c>
      <c r="V36" s="1386" t="s">
        <v>5</v>
      </c>
      <c r="W36" s="1387">
        <f t="shared" si="11"/>
        <v>100</v>
      </c>
      <c r="X36" s="1380"/>
      <c r="Y36" s="390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05"/>
      <c r="Q37" s="1385" t="str">
        <f t="shared" si="8"/>
        <v>内部装修状况</v>
      </c>
      <c r="R37" s="1386" t="s">
        <v>5</v>
      </c>
      <c r="S37" s="1387">
        <f t="shared" si="9"/>
        <v>100</v>
      </c>
      <c r="T37" s="1386" t="s">
        <v>5</v>
      </c>
      <c r="U37" s="1387">
        <f t="shared" si="10"/>
        <v>100</v>
      </c>
      <c r="V37" s="1386" t="s">
        <v>5</v>
      </c>
      <c r="W37" s="1387">
        <f t="shared" si="11"/>
        <v>100</v>
      </c>
      <c r="X37" s="1380"/>
      <c r="Y37" s="390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05"/>
      <c r="Q38" s="1414">
        <f t="shared" si="8"/>
        <v>111</v>
      </c>
      <c r="R38" s="1390" t="s">
        <v>5</v>
      </c>
      <c r="S38" s="1391">
        <f t="shared" si="9"/>
        <v>100</v>
      </c>
      <c r="T38" s="1390" t="s">
        <v>5</v>
      </c>
      <c r="U38" s="1391">
        <f t="shared" si="10"/>
        <v>100</v>
      </c>
      <c r="V38" s="1390" t="s">
        <v>5</v>
      </c>
      <c r="W38" s="1391">
        <f t="shared" si="11"/>
        <v>100</v>
      </c>
      <c r="X38" s="1392"/>
      <c r="Y38" s="390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05"/>
      <c r="Q39" s="1385">
        <f t="shared" si="8"/>
        <v>111</v>
      </c>
      <c r="R39" s="1386" t="s">
        <v>5</v>
      </c>
      <c r="S39" s="1387">
        <f t="shared" si="9"/>
        <v>100</v>
      </c>
      <c r="T39" s="1386" t="s">
        <v>5</v>
      </c>
      <c r="U39" s="1387">
        <f t="shared" si="10"/>
        <v>100</v>
      </c>
      <c r="V39" s="1386" t="s">
        <v>5</v>
      </c>
      <c r="W39" s="1387">
        <f t="shared" si="11"/>
        <v>100</v>
      </c>
      <c r="X39" s="1380"/>
      <c r="Y39" s="3905"/>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8"/>
      <c r="Q40" s="1385">
        <f t="shared" si="8"/>
        <v>111</v>
      </c>
      <c r="R40" s="1386" t="s">
        <v>5</v>
      </c>
      <c r="S40" s="1387">
        <f t="shared" si="9"/>
        <v>100</v>
      </c>
      <c r="T40" s="1386" t="s">
        <v>5</v>
      </c>
      <c r="U40" s="1387">
        <f t="shared" si="10"/>
        <v>100</v>
      </c>
      <c r="V40" s="1386" t="s">
        <v>5</v>
      </c>
      <c r="W40" s="1387">
        <f t="shared" si="11"/>
        <v>100</v>
      </c>
      <c r="X40" s="1380"/>
      <c r="Y40" s="3998"/>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00" t="str">
        <f>A41</f>
        <v>成交单价（元/平方米）</v>
      </c>
      <c r="Q41" s="3900"/>
      <c r="R41" s="3997">
        <f>E41</f>
        <v>0</v>
      </c>
      <c r="S41" s="3997"/>
      <c r="T41" s="3997">
        <f>G41</f>
        <v>0</v>
      </c>
      <c r="U41" s="3997"/>
      <c r="V41" s="3997">
        <f>I41</f>
        <v>0</v>
      </c>
      <c r="W41" s="3997"/>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00" t="str">
        <f>A42</f>
        <v>比较价格（元/平方米）</v>
      </c>
      <c r="Q42" s="3900"/>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06" t="str">
        <f>A43</f>
        <v>估价对象XX用房的比较价格（楼面单价，元/平方米）</v>
      </c>
      <c r="Q43" s="3907"/>
      <c r="R43" s="3996" t="e">
        <f>IF(F1="售价",ROUND(IF(D42="简单平均",AVERAGE(R42:V42),R42*F42+T42*H42+V42*J42),0),ROUND(IF(D42="简单平均",AVERAGE(R42:V42),R42*F42+T42*H42+V42*J42),1))</f>
        <v>#DIV/0!</v>
      </c>
      <c r="S43" s="3996"/>
      <c r="T43" s="3996"/>
      <c r="U43" s="3996"/>
      <c r="V43" s="3996"/>
      <c r="W43" s="399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5" sqref="D15"/>
    </sheetView>
  </sheetViews>
  <sheetFormatPr defaultColWidth="14.625" defaultRowHeight="13.5"/>
  <cols>
    <col min="1" max="1" width="24.375" style="2929" customWidth="1"/>
    <col min="2" max="16384" width="14.625" style="2929"/>
  </cols>
  <sheetData>
    <row r="1" spans="1:10" ht="16.5">
      <c r="A1" s="2928" t="s">
        <v>2118</v>
      </c>
      <c r="B1" s="2928">
        <f>SUM(B14:B23)</f>
        <v>371200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44994</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306351.35999999999</v>
      </c>
      <c r="C5" s="2928">
        <f>ROUND(B5*10000/$B$1,0)</f>
        <v>8253</v>
      </c>
      <c r="D5" s="2928" t="e">
        <f>ROUND(B5*10000/$B$2,0)</f>
        <v>#DIV/0!</v>
      </c>
      <c r="E5" s="2937"/>
      <c r="F5" s="2937"/>
      <c r="G5" s="2938"/>
      <c r="H5" s="2938"/>
      <c r="I5" s="2938"/>
      <c r="J5" s="2938"/>
    </row>
    <row r="6" spans="1:10" ht="16.5">
      <c r="A6" s="2928" t="s">
        <v>2126</v>
      </c>
      <c r="B6" s="2928">
        <f>SUM(G14:G23)</f>
        <v>0</v>
      </c>
      <c r="C6" s="2928">
        <f>ROUND(B6*10000/$B$1,0)</f>
        <v>0</v>
      </c>
      <c r="D6" s="2928" t="e">
        <f>ROUND(B6*10000/$B$2,0)</f>
        <v>#DIV/0!</v>
      </c>
      <c r="E6" s="2937"/>
      <c r="F6" s="2937"/>
      <c r="G6" s="2938"/>
      <c r="H6" s="2938"/>
      <c r="I6" s="2938"/>
      <c r="J6" s="2938"/>
    </row>
    <row r="7" spans="1:10" ht="16.5">
      <c r="A7" s="2928" t="s">
        <v>2127</v>
      </c>
      <c r="B7" s="2928">
        <f>SUM(H14:H23)</f>
        <v>0</v>
      </c>
      <c r="C7" s="2928">
        <f>ROUND(B7*10000/$B$1,0)</f>
        <v>0</v>
      </c>
      <c r="D7" s="2928" t="e">
        <f>ROUND(B7*10000/$B$2,0)</f>
        <v>#DIV/0!</v>
      </c>
      <c r="E7" s="2937"/>
      <c r="F7" s="2937"/>
      <c r="G7" s="2938"/>
      <c r="H7" s="2938"/>
      <c r="I7" s="2938"/>
      <c r="J7" s="2938"/>
    </row>
    <row r="8" spans="1:10" ht="16.5">
      <c r="A8" s="2928" t="s">
        <v>2128</v>
      </c>
      <c r="B8" s="2928">
        <f>SUM(I14:I23)</f>
        <v>0</v>
      </c>
      <c r="C8" s="2928">
        <f>ROUND(B8*10000/$B$1,0)</f>
        <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v>371200</v>
      </c>
      <c r="C14" s="2934"/>
      <c r="D14" s="2934">
        <f>ROUND(B14*0.8253,2)</f>
        <v>306351.35999999999</v>
      </c>
      <c r="E14" s="2934">
        <f>ROUND(D14*10000/B14,0)</f>
        <v>8253</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8" t="s">
        <v>738</v>
      </c>
      <c r="D4" s="3909"/>
      <c r="E4" s="3908" t="s">
        <v>739</v>
      </c>
      <c r="F4" s="3909"/>
      <c r="G4" s="3908" t="s">
        <v>740</v>
      </c>
      <c r="H4" s="3909"/>
      <c r="I4" s="3908" t="s">
        <v>741</v>
      </c>
      <c r="J4" s="3909"/>
      <c r="K4" s="484" t="s">
        <v>742</v>
      </c>
      <c r="L4" s="1856"/>
      <c r="M4" s="1857"/>
      <c r="N4" s="1857"/>
      <c r="O4" s="1857"/>
      <c r="P4" s="3910" t="s">
        <v>743</v>
      </c>
      <c r="Q4" s="3911"/>
      <c r="R4" s="3894" t="s">
        <v>739</v>
      </c>
      <c r="S4" s="3895"/>
      <c r="T4" s="3894" t="s">
        <v>740</v>
      </c>
      <c r="U4" s="3895"/>
      <c r="V4" s="3916" t="s">
        <v>741</v>
      </c>
      <c r="W4" s="3916"/>
      <c r="X4" s="1380"/>
      <c r="Y4" s="3894" t="s">
        <v>743</v>
      </c>
      <c r="Z4" s="3895"/>
      <c r="AA4" s="3889" t="s">
        <v>739</v>
      </c>
      <c r="AB4" s="3890" t="s">
        <v>740</v>
      </c>
      <c r="AC4" s="3889" t="s">
        <v>741</v>
      </c>
    </row>
    <row r="5" spans="1:29" ht="15">
      <c r="A5" s="485"/>
      <c r="B5" s="486"/>
      <c r="C5" s="3919" t="s">
        <v>2192</v>
      </c>
      <c r="D5" s="3920"/>
      <c r="E5" s="3919" t="s">
        <v>2193</v>
      </c>
      <c r="F5" s="3920"/>
      <c r="G5" s="3919" t="s">
        <v>2194</v>
      </c>
      <c r="H5" s="3920"/>
      <c r="I5" s="3919" t="s">
        <v>2195</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2196</v>
      </c>
      <c r="D6" s="3918"/>
      <c r="E6" s="3921" t="s">
        <v>2196</v>
      </c>
      <c r="F6" s="3922"/>
      <c r="G6" s="3917" t="s">
        <v>2196</v>
      </c>
      <c r="H6" s="3918"/>
      <c r="I6" s="3917" t="s">
        <v>2196</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92" t="s">
        <v>479</v>
      </c>
      <c r="Q7" s="3901"/>
      <c r="R7" s="1381" t="s">
        <v>5</v>
      </c>
      <c r="S7" s="1382">
        <f t="shared" ref="S7:S14" si="0">F7</f>
        <v>0</v>
      </c>
      <c r="T7" s="1381" t="s">
        <v>5</v>
      </c>
      <c r="U7" s="1382">
        <f t="shared" ref="U7:U14" si="1">H7</f>
        <v>0</v>
      </c>
      <c r="V7" s="1381" t="s">
        <v>5</v>
      </c>
      <c r="W7" s="1382">
        <f t="shared" ref="W7:W14"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00" t="s">
        <v>484</v>
      </c>
      <c r="Q9" s="1050" t="str">
        <f t="shared" ref="Q9:Q14" si="6">B9</f>
        <v>用途</v>
      </c>
      <c r="R9" s="1381" t="s">
        <v>5</v>
      </c>
      <c r="S9" s="1382">
        <f t="shared" si="0"/>
        <v>100</v>
      </c>
      <c r="T9" s="1381" t="s">
        <v>5</v>
      </c>
      <c r="U9" s="1382">
        <f t="shared" si="1"/>
        <v>100</v>
      </c>
      <c r="V9" s="1381" t="s">
        <v>5</v>
      </c>
      <c r="W9" s="1382">
        <f t="shared" si="2"/>
        <v>100</v>
      </c>
      <c r="X9" s="1383"/>
      <c r="Y9" s="383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00"/>
      <c r="Q11" s="1050">
        <f t="shared" si="6"/>
        <v>111</v>
      </c>
      <c r="R11" s="1381" t="s">
        <v>5</v>
      </c>
      <c r="S11" s="1382">
        <f t="shared" si="0"/>
        <v>100</v>
      </c>
      <c r="T11" s="1381" t="s">
        <v>5</v>
      </c>
      <c r="U11" s="1382">
        <f t="shared" si="1"/>
        <v>100</v>
      </c>
      <c r="V11" s="1381" t="s">
        <v>5</v>
      </c>
      <c r="W11" s="1382">
        <f t="shared" si="2"/>
        <v>100</v>
      </c>
      <c r="X11" s="1383"/>
      <c r="Y11" s="3833"/>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02" t="s">
        <v>489</v>
      </c>
      <c r="Q14" s="1385" t="str">
        <f t="shared" si="6"/>
        <v>交通便捷度</v>
      </c>
      <c r="R14" s="1386" t="s">
        <v>5</v>
      </c>
      <c r="S14" s="1387">
        <f t="shared" si="0"/>
        <v>100</v>
      </c>
      <c r="T14" s="1386" t="s">
        <v>5</v>
      </c>
      <c r="U14" s="1387">
        <f t="shared" si="1"/>
        <v>100</v>
      </c>
      <c r="V14" s="1386" t="s">
        <v>5</v>
      </c>
      <c r="W14" s="1387">
        <f t="shared" si="2"/>
        <v>100</v>
      </c>
      <c r="X14" s="1380"/>
      <c r="Y14" s="390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03"/>
      <c r="Q15" s="1385"/>
      <c r="R15" s="1386"/>
      <c r="S15" s="1387"/>
      <c r="T15" s="1386"/>
      <c r="U15" s="1387"/>
      <c r="V15" s="1386"/>
      <c r="W15" s="1387"/>
      <c r="X15" s="1380"/>
      <c r="Y15" s="3903"/>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03"/>
      <c r="Q16" s="1385" t="str">
        <f>B16</f>
        <v>公共配套设施</v>
      </c>
      <c r="R16" s="1386" t="s">
        <v>5</v>
      </c>
      <c r="S16" s="1387">
        <f>F16</f>
        <v>100</v>
      </c>
      <c r="T16" s="1386" t="s">
        <v>5</v>
      </c>
      <c r="U16" s="1387">
        <f>H16</f>
        <v>100</v>
      </c>
      <c r="V16" s="1386" t="s">
        <v>5</v>
      </c>
      <c r="W16" s="1387">
        <f>J16</f>
        <v>100</v>
      </c>
      <c r="X16" s="1380"/>
      <c r="Y16" s="390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03"/>
      <c r="Q17" s="1385"/>
      <c r="R17" s="1386"/>
      <c r="S17" s="1387"/>
      <c r="T17" s="1386"/>
      <c r="U17" s="1387"/>
      <c r="V17" s="1386"/>
      <c r="W17" s="1387"/>
      <c r="X17" s="1380"/>
      <c r="Y17" s="3903"/>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03"/>
      <c r="Q18" s="2193" t="str">
        <f>B18</f>
        <v>基础设施水平</v>
      </c>
      <c r="R18" s="1386" t="s">
        <v>5</v>
      </c>
      <c r="S18" s="1387">
        <f>F18</f>
        <v>100</v>
      </c>
      <c r="T18" s="1386" t="s">
        <v>5</v>
      </c>
      <c r="U18" s="1387">
        <f>H18</f>
        <v>100</v>
      </c>
      <c r="V18" s="1386" t="s">
        <v>5</v>
      </c>
      <c r="W18" s="1387">
        <f>J18</f>
        <v>100</v>
      </c>
      <c r="X18" s="2195"/>
      <c r="Y18" s="390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03"/>
      <c r="Q19" s="2193"/>
      <c r="R19" s="1386"/>
      <c r="S19" s="1387"/>
      <c r="T19" s="1386"/>
      <c r="U19" s="1387"/>
      <c r="V19" s="1386"/>
      <c r="W19" s="1387"/>
      <c r="X19" s="2195"/>
      <c r="Y19" s="3903"/>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03"/>
      <c r="Q20" s="1385" t="str">
        <f>B20</f>
        <v>自然及人文环境</v>
      </c>
      <c r="R20" s="1386" t="s">
        <v>5</v>
      </c>
      <c r="S20" s="1387">
        <f>F20</f>
        <v>100</v>
      </c>
      <c r="T20" s="1386" t="s">
        <v>5</v>
      </c>
      <c r="U20" s="1387">
        <f>H20</f>
        <v>100</v>
      </c>
      <c r="V20" s="1386" t="s">
        <v>5</v>
      </c>
      <c r="W20" s="1387">
        <f>J20</f>
        <v>100</v>
      </c>
      <c r="X20" s="1380"/>
      <c r="Y20" s="390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03"/>
      <c r="Q21" s="1385"/>
      <c r="R21" s="1386"/>
      <c r="S21" s="1387"/>
      <c r="T21" s="1386"/>
      <c r="U21" s="1387"/>
      <c r="V21" s="1386"/>
      <c r="W21" s="1387"/>
      <c r="X21" s="1380"/>
      <c r="Y21" s="390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03"/>
      <c r="Q22" s="1385" t="str">
        <f>B22</f>
        <v>楼层</v>
      </c>
      <c r="R22" s="1386" t="s">
        <v>5</v>
      </c>
      <c r="S22" s="1387">
        <f>F22</f>
        <v>100</v>
      </c>
      <c r="T22" s="1386" t="s">
        <v>5</v>
      </c>
      <c r="U22" s="1387">
        <f>H22</f>
        <v>100</v>
      </c>
      <c r="V22" s="1386" t="s">
        <v>5</v>
      </c>
      <c r="W22" s="1387">
        <f>J22</f>
        <v>100</v>
      </c>
      <c r="X22" s="1380"/>
      <c r="Y22" s="390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03"/>
      <c r="Q23" s="1385">
        <f>B23</f>
        <v>111</v>
      </c>
      <c r="R23" s="1386" t="s">
        <v>5</v>
      </c>
      <c r="S23" s="1387">
        <f>F23</f>
        <v>100</v>
      </c>
      <c r="T23" s="1386" t="s">
        <v>5</v>
      </c>
      <c r="U23" s="1387">
        <f>H23</f>
        <v>100</v>
      </c>
      <c r="V23" s="1386" t="s">
        <v>5</v>
      </c>
      <c r="W23" s="1387">
        <f>J23</f>
        <v>100</v>
      </c>
      <c r="X23" s="1380"/>
      <c r="Y23" s="390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03"/>
      <c r="Q24" s="1385">
        <f t="shared" ref="Q24:Q36" si="8">B24</f>
        <v>111</v>
      </c>
      <c r="R24" s="1386" t="s">
        <v>5</v>
      </c>
      <c r="S24" s="1387">
        <f>F24</f>
        <v>100</v>
      </c>
      <c r="T24" s="1386" t="s">
        <v>5</v>
      </c>
      <c r="U24" s="1387">
        <f>H24</f>
        <v>100</v>
      </c>
      <c r="V24" s="1386" t="s">
        <v>5</v>
      </c>
      <c r="W24" s="1387">
        <f>J24</f>
        <v>100</v>
      </c>
      <c r="X24" s="1380"/>
      <c r="Y24" s="3903"/>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03"/>
      <c r="Q25" s="1050">
        <f t="shared" si="8"/>
        <v>111</v>
      </c>
      <c r="R25" s="1381" t="s">
        <v>5</v>
      </c>
      <c r="S25" s="1382">
        <f>F25</f>
        <v>100</v>
      </c>
      <c r="T25" s="1381" t="s">
        <v>5</v>
      </c>
      <c r="U25" s="1382">
        <f>H25</f>
        <v>100</v>
      </c>
      <c r="V25" s="1381" t="s">
        <v>5</v>
      </c>
      <c r="W25" s="1382">
        <f>J25</f>
        <v>100</v>
      </c>
      <c r="X25" s="1383"/>
      <c r="Y25" s="3903"/>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0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0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05"/>
      <c r="Q27" s="1414" t="str">
        <f t="shared" si="8"/>
        <v>项目停车位配比</v>
      </c>
      <c r="R27" s="1390" t="s">
        <v>5</v>
      </c>
      <c r="S27" s="1391">
        <f t="shared" si="9"/>
        <v>100</v>
      </c>
      <c r="T27" s="1390" t="s">
        <v>5</v>
      </c>
      <c r="U27" s="1391">
        <f t="shared" si="10"/>
        <v>100</v>
      </c>
      <c r="V27" s="1390" t="s">
        <v>5</v>
      </c>
      <c r="W27" s="1391">
        <f t="shared" si="11"/>
        <v>100</v>
      </c>
      <c r="X27" s="1392"/>
      <c r="Y27" s="390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05"/>
      <c r="Q28" s="1385" t="str">
        <f t="shared" si="8"/>
        <v>公共部分装修</v>
      </c>
      <c r="R28" s="1386" t="s">
        <v>5</v>
      </c>
      <c r="S28" s="1387">
        <f t="shared" si="9"/>
        <v>100</v>
      </c>
      <c r="T28" s="1386" t="s">
        <v>5</v>
      </c>
      <c r="U28" s="1387">
        <f t="shared" si="10"/>
        <v>100</v>
      </c>
      <c r="V28" s="1386" t="s">
        <v>5</v>
      </c>
      <c r="W28" s="1387">
        <f t="shared" si="11"/>
        <v>100</v>
      </c>
      <c r="X28" s="1380"/>
      <c r="Y28" s="390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05"/>
      <c r="Q29" s="1385" t="str">
        <f t="shared" si="8"/>
        <v>成新率</v>
      </c>
      <c r="R29" s="1386" t="s">
        <v>5</v>
      </c>
      <c r="S29" s="1387" t="e">
        <f t="shared" si="9"/>
        <v>#N/A</v>
      </c>
      <c r="T29" s="1386" t="s">
        <v>5</v>
      </c>
      <c r="U29" s="1387" t="e">
        <f t="shared" si="10"/>
        <v>#N/A</v>
      </c>
      <c r="V29" s="1386" t="s">
        <v>5</v>
      </c>
      <c r="W29" s="1387" t="e">
        <f t="shared" si="11"/>
        <v>#N/A</v>
      </c>
      <c r="X29" s="1380"/>
      <c r="Y29" s="390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05"/>
      <c r="Q30" s="1385" t="str">
        <f t="shared" si="8"/>
        <v>物业等级</v>
      </c>
      <c r="R30" s="1386" t="s">
        <v>5</v>
      </c>
      <c r="S30" s="1387">
        <f t="shared" si="9"/>
        <v>100</v>
      </c>
      <c r="T30" s="1386" t="s">
        <v>5</v>
      </c>
      <c r="U30" s="1387">
        <f t="shared" si="10"/>
        <v>100</v>
      </c>
      <c r="V30" s="1386" t="s">
        <v>5</v>
      </c>
      <c r="W30" s="1387">
        <f t="shared" si="11"/>
        <v>100</v>
      </c>
      <c r="X30" s="1380"/>
      <c r="Y30" s="390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05"/>
      <c r="Q31" s="1050" t="str">
        <f t="shared" si="8"/>
        <v>停车位面积</v>
      </c>
      <c r="R31" s="1381" t="s">
        <v>5</v>
      </c>
      <c r="S31" s="1382" t="e">
        <f t="shared" si="9"/>
        <v>#N/A</v>
      </c>
      <c r="T31" s="1381" t="s">
        <v>5</v>
      </c>
      <c r="U31" s="1382" t="e">
        <f t="shared" si="10"/>
        <v>#N/A</v>
      </c>
      <c r="V31" s="1381" t="s">
        <v>5</v>
      </c>
      <c r="W31" s="1382" t="e">
        <f t="shared" si="11"/>
        <v>#N/A</v>
      </c>
      <c r="X31" s="1383"/>
      <c r="Y31" s="390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05" t="s">
        <v>499</v>
      </c>
      <c r="Q32" s="1385" t="str">
        <f t="shared" si="8"/>
        <v>车位类型</v>
      </c>
      <c r="R32" s="1386" t="s">
        <v>5</v>
      </c>
      <c r="S32" s="1387">
        <f t="shared" si="9"/>
        <v>100</v>
      </c>
      <c r="T32" s="1386" t="s">
        <v>5</v>
      </c>
      <c r="U32" s="1387">
        <f t="shared" si="10"/>
        <v>100</v>
      </c>
      <c r="V32" s="1386" t="s">
        <v>5</v>
      </c>
      <c r="W32" s="1387">
        <f t="shared" si="11"/>
        <v>100</v>
      </c>
      <c r="X32" s="1380"/>
      <c r="Y32" s="390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05"/>
      <c r="Q33" s="1385" t="str">
        <f t="shared" si="8"/>
        <v>是否直接入户</v>
      </c>
      <c r="R33" s="1386" t="s">
        <v>5</v>
      </c>
      <c r="S33" s="1387">
        <f t="shared" si="9"/>
        <v>100</v>
      </c>
      <c r="T33" s="1386" t="s">
        <v>5</v>
      </c>
      <c r="U33" s="1387">
        <f t="shared" si="10"/>
        <v>100</v>
      </c>
      <c r="V33" s="1386" t="s">
        <v>5</v>
      </c>
      <c r="W33" s="1387">
        <f t="shared" si="11"/>
        <v>100</v>
      </c>
      <c r="X33" s="1380"/>
      <c r="Y33" s="390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05"/>
      <c r="Q34" s="1385">
        <f t="shared" si="8"/>
        <v>111</v>
      </c>
      <c r="R34" s="1386" t="s">
        <v>5</v>
      </c>
      <c r="S34" s="1387">
        <f t="shared" si="9"/>
        <v>100</v>
      </c>
      <c r="T34" s="1386" t="s">
        <v>5</v>
      </c>
      <c r="U34" s="1387">
        <f t="shared" si="10"/>
        <v>100</v>
      </c>
      <c r="V34" s="1386" t="s">
        <v>5</v>
      </c>
      <c r="W34" s="1387">
        <f t="shared" si="11"/>
        <v>100</v>
      </c>
      <c r="X34" s="1380"/>
      <c r="Y34" s="390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05"/>
      <c r="Q35" s="1414">
        <f t="shared" si="8"/>
        <v>111</v>
      </c>
      <c r="R35" s="1390" t="s">
        <v>5</v>
      </c>
      <c r="S35" s="1391">
        <f t="shared" si="9"/>
        <v>100</v>
      </c>
      <c r="T35" s="1390" t="s">
        <v>5</v>
      </c>
      <c r="U35" s="1391">
        <f t="shared" si="10"/>
        <v>100</v>
      </c>
      <c r="V35" s="1390" t="s">
        <v>5</v>
      </c>
      <c r="W35" s="1391">
        <f t="shared" si="11"/>
        <v>100</v>
      </c>
      <c r="X35" s="1392"/>
      <c r="Y35" s="3905"/>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05"/>
      <c r="Q36" s="1385">
        <f t="shared" si="8"/>
        <v>111</v>
      </c>
      <c r="R36" s="1386" t="s">
        <v>5</v>
      </c>
      <c r="S36" s="1387">
        <f t="shared" si="9"/>
        <v>100</v>
      </c>
      <c r="T36" s="1386" t="s">
        <v>5</v>
      </c>
      <c r="U36" s="1387">
        <f t="shared" si="10"/>
        <v>100</v>
      </c>
      <c r="V36" s="1386" t="s">
        <v>5</v>
      </c>
      <c r="W36" s="1387">
        <f t="shared" si="11"/>
        <v>100</v>
      </c>
      <c r="X36" s="1380"/>
      <c r="Y36" s="3905"/>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900" t="str">
        <f>A37</f>
        <v>成交单价</v>
      </c>
      <c r="Q37" s="3900"/>
      <c r="R37" s="3997">
        <f>E37</f>
        <v>0</v>
      </c>
      <c r="S37" s="3997"/>
      <c r="T37" s="3997">
        <f>G37</f>
        <v>0</v>
      </c>
      <c r="U37" s="3997"/>
      <c r="V37" s="3997">
        <f>I37</f>
        <v>0</v>
      </c>
      <c r="W37" s="3997"/>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00" t="str">
        <f>A38</f>
        <v>比较价格（元/平方米）</v>
      </c>
      <c r="Q38" s="3900"/>
      <c r="R38" s="3997" t="e">
        <f>IF(F1="售价",ROUND(PRODUCT(R37,AA7:AA36),0),ROUND(PRODUCT(R37,AA7:AA36),1))</f>
        <v>#DIV/0!</v>
      </c>
      <c r="S38" s="3997"/>
      <c r="T38" s="3997" t="e">
        <f>IF(F1="售价",ROUND(PRODUCT(T37,AB7:AB36),0),ROUND(PRODUCT(T37,AB7:AB36),1))</f>
        <v>#DIV/0!</v>
      </c>
      <c r="U38" s="3997"/>
      <c r="V38" s="3997" t="e">
        <f>IF(F1="售价",ROUND(PRODUCT(V37,AC7:AC36),0),ROUND(PRODUCT(V37,AC7:AC36),1))</f>
        <v>#DIV/0!</v>
      </c>
      <c r="W38" s="3997"/>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906" t="str">
        <f>A39</f>
        <v>估价对象XX用房的比较价格（楼面单价，元/平方米）</v>
      </c>
      <c r="Q39" s="3907"/>
      <c r="R39" s="3996" t="e">
        <f>IF(F1="售价",ROUND(IF(D38="简单平均",AVERAGE(R38:W38),R38*F38+T38*H38+V38*J38),0),ROUND(IF(D38="简单平均",AVERAGE(R38:V38),R38*F38+T38*H38+V38*J38),1))</f>
        <v>#DIV/0!</v>
      </c>
      <c r="S39" s="3996"/>
      <c r="T39" s="3996"/>
      <c r="U39" s="3996"/>
      <c r="V39" s="3996"/>
      <c r="W39" s="399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8" t="s">
        <v>738</v>
      </c>
      <c r="D4" s="3909"/>
      <c r="E4" s="3930" t="s">
        <v>739</v>
      </c>
      <c r="F4" s="3931"/>
      <c r="G4" s="3908" t="s">
        <v>740</v>
      </c>
      <c r="H4" s="3909"/>
      <c r="I4" s="3908" t="s">
        <v>741</v>
      </c>
      <c r="J4" s="3909"/>
      <c r="K4" s="484" t="s">
        <v>742</v>
      </c>
      <c r="L4" s="1856"/>
      <c r="M4" s="1857"/>
      <c r="N4" s="1857"/>
      <c r="O4" s="1857"/>
      <c r="P4" s="3910" t="s">
        <v>743</v>
      </c>
      <c r="Q4" s="3911"/>
      <c r="R4" s="3894" t="s">
        <v>739</v>
      </c>
      <c r="S4" s="3895"/>
      <c r="T4" s="3894" t="s">
        <v>740</v>
      </c>
      <c r="U4" s="3895"/>
      <c r="V4" s="3916" t="s">
        <v>741</v>
      </c>
      <c r="W4" s="3916"/>
      <c r="X4" s="1380"/>
      <c r="Y4" s="3894" t="s">
        <v>743</v>
      </c>
      <c r="Z4" s="3895"/>
      <c r="AA4" s="3889" t="s">
        <v>739</v>
      </c>
      <c r="AB4" s="3890" t="s">
        <v>740</v>
      </c>
      <c r="AC4" s="3889" t="s">
        <v>741</v>
      </c>
    </row>
    <row r="5" spans="1:29" ht="15">
      <c r="A5" s="485"/>
      <c r="B5" s="486"/>
      <c r="C5" s="3919" t="s">
        <v>2192</v>
      </c>
      <c r="D5" s="3920"/>
      <c r="E5" s="3932" t="s">
        <v>2193</v>
      </c>
      <c r="F5" s="3933"/>
      <c r="G5" s="3919" t="s">
        <v>2194</v>
      </c>
      <c r="H5" s="3920"/>
      <c r="I5" s="3919" t="s">
        <v>2195</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2196</v>
      </c>
      <c r="D6" s="3918"/>
      <c r="E6" s="3934" t="s">
        <v>2196</v>
      </c>
      <c r="F6" s="3935"/>
      <c r="G6" s="3917" t="s">
        <v>2196</v>
      </c>
      <c r="H6" s="3918"/>
      <c r="I6" s="3917" t="s">
        <v>2196</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92" t="s">
        <v>479</v>
      </c>
      <c r="Q7" s="3901"/>
      <c r="R7" s="1381" t="s">
        <v>5</v>
      </c>
      <c r="S7" s="1382">
        <f t="shared" ref="S7:S14" si="0">F7</f>
        <v>0</v>
      </c>
      <c r="T7" s="1381" t="s">
        <v>5</v>
      </c>
      <c r="U7" s="1382">
        <f t="shared" ref="U7:U14" si="1">H7</f>
        <v>0</v>
      </c>
      <c r="V7" s="1381" t="s">
        <v>5</v>
      </c>
      <c r="W7" s="1382">
        <f t="shared" ref="W7:W14"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00" t="s">
        <v>484</v>
      </c>
      <c r="Q9" s="1050" t="str">
        <f t="shared" ref="Q9:Q14" si="6">B9</f>
        <v>用途</v>
      </c>
      <c r="R9" s="1381" t="s">
        <v>5</v>
      </c>
      <c r="S9" s="1382">
        <f t="shared" si="0"/>
        <v>100</v>
      </c>
      <c r="T9" s="1381" t="s">
        <v>5</v>
      </c>
      <c r="U9" s="1382">
        <f t="shared" si="1"/>
        <v>100</v>
      </c>
      <c r="V9" s="1381" t="s">
        <v>5</v>
      </c>
      <c r="W9" s="1382">
        <f t="shared" si="2"/>
        <v>100</v>
      </c>
      <c r="X9" s="1383"/>
      <c r="Y9" s="383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00"/>
      <c r="Q11" s="1050">
        <f t="shared" si="6"/>
        <v>111</v>
      </c>
      <c r="R11" s="1381" t="s">
        <v>5</v>
      </c>
      <c r="S11" s="1382">
        <f t="shared" si="0"/>
        <v>100</v>
      </c>
      <c r="T11" s="1381" t="s">
        <v>5</v>
      </c>
      <c r="U11" s="1382">
        <f t="shared" si="1"/>
        <v>100</v>
      </c>
      <c r="V11" s="1381" t="s">
        <v>5</v>
      </c>
      <c r="W11" s="1382">
        <f t="shared" si="2"/>
        <v>100</v>
      </c>
      <c r="X11" s="1383"/>
      <c r="Y11" s="3833"/>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02" t="s">
        <v>489</v>
      </c>
      <c r="Q14" s="1385" t="str">
        <f t="shared" si="6"/>
        <v>交通便捷度</v>
      </c>
      <c r="R14" s="1386" t="s">
        <v>5</v>
      </c>
      <c r="S14" s="1387">
        <f t="shared" si="0"/>
        <v>100</v>
      </c>
      <c r="T14" s="1386" t="s">
        <v>5</v>
      </c>
      <c r="U14" s="1387">
        <f t="shared" si="1"/>
        <v>100</v>
      </c>
      <c r="V14" s="1386" t="s">
        <v>5</v>
      </c>
      <c r="W14" s="1387">
        <f t="shared" si="2"/>
        <v>100</v>
      </c>
      <c r="X14" s="1380"/>
      <c r="Y14" s="390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03"/>
      <c r="Q15" s="1385"/>
      <c r="R15" s="1386"/>
      <c r="S15" s="1387"/>
      <c r="T15" s="1386"/>
      <c r="U15" s="1387"/>
      <c r="V15" s="1386"/>
      <c r="W15" s="1387"/>
      <c r="X15" s="1380"/>
      <c r="Y15" s="3903"/>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03"/>
      <c r="Q16" s="1385" t="str">
        <f>B16</f>
        <v>公共配套设施</v>
      </c>
      <c r="R16" s="1386" t="s">
        <v>5</v>
      </c>
      <c r="S16" s="1387">
        <f>F16</f>
        <v>100</v>
      </c>
      <c r="T16" s="1386" t="s">
        <v>5</v>
      </c>
      <c r="U16" s="1387">
        <f>H16</f>
        <v>100</v>
      </c>
      <c r="V16" s="1386" t="s">
        <v>5</v>
      </c>
      <c r="W16" s="1387">
        <f>J16</f>
        <v>100</v>
      </c>
      <c r="X16" s="1380"/>
      <c r="Y16" s="390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03"/>
      <c r="Q17" s="1385"/>
      <c r="R17" s="1386"/>
      <c r="S17" s="1387"/>
      <c r="T17" s="1386"/>
      <c r="U17" s="1387"/>
      <c r="V17" s="1386"/>
      <c r="W17" s="1387"/>
      <c r="X17" s="1380"/>
      <c r="Y17" s="3903"/>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03"/>
      <c r="Q18" s="2193" t="str">
        <f>B18</f>
        <v>基础设施水平</v>
      </c>
      <c r="R18" s="1386" t="s">
        <v>5</v>
      </c>
      <c r="S18" s="1387">
        <f>F18</f>
        <v>100</v>
      </c>
      <c r="T18" s="1386" t="s">
        <v>5</v>
      </c>
      <c r="U18" s="1387">
        <f>H18</f>
        <v>100</v>
      </c>
      <c r="V18" s="1386" t="s">
        <v>5</v>
      </c>
      <c r="W18" s="1387">
        <f>J18</f>
        <v>100</v>
      </c>
      <c r="X18" s="2195"/>
      <c r="Y18" s="390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03"/>
      <c r="Q19" s="2193"/>
      <c r="R19" s="1386"/>
      <c r="S19" s="1387"/>
      <c r="T19" s="1386"/>
      <c r="U19" s="1387"/>
      <c r="V19" s="1386"/>
      <c r="W19" s="1387"/>
      <c r="X19" s="2195"/>
      <c r="Y19" s="3903"/>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03"/>
      <c r="Q20" s="1385" t="str">
        <f>B20</f>
        <v>自然及人文环境</v>
      </c>
      <c r="R20" s="1386" t="s">
        <v>5</v>
      </c>
      <c r="S20" s="1387">
        <f>F20</f>
        <v>100</v>
      </c>
      <c r="T20" s="1386" t="s">
        <v>5</v>
      </c>
      <c r="U20" s="1387">
        <f>H20</f>
        <v>100</v>
      </c>
      <c r="V20" s="1386" t="s">
        <v>5</v>
      </c>
      <c r="W20" s="1387">
        <f>J20</f>
        <v>100</v>
      </c>
      <c r="X20" s="1380"/>
      <c r="Y20" s="390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03"/>
      <c r="Q21" s="1385"/>
      <c r="R21" s="1386"/>
      <c r="S21" s="1387"/>
      <c r="T21" s="1386"/>
      <c r="U21" s="1387"/>
      <c r="V21" s="1386"/>
      <c r="W21" s="1387"/>
      <c r="X21" s="1380"/>
      <c r="Y21" s="390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03"/>
      <c r="Q22" s="1385" t="str">
        <f>B22</f>
        <v>楼层</v>
      </c>
      <c r="R22" s="1386" t="s">
        <v>5</v>
      </c>
      <c r="S22" s="1387">
        <f>F22</f>
        <v>100</v>
      </c>
      <c r="T22" s="1386" t="s">
        <v>5</v>
      </c>
      <c r="U22" s="1387">
        <f>H22</f>
        <v>100</v>
      </c>
      <c r="V22" s="1386" t="s">
        <v>5</v>
      </c>
      <c r="W22" s="1387">
        <f>J22</f>
        <v>100</v>
      </c>
      <c r="X22" s="1380"/>
      <c r="Y22" s="390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03"/>
      <c r="Q23" s="1385">
        <f>B23</f>
        <v>111</v>
      </c>
      <c r="R23" s="1386" t="s">
        <v>5</v>
      </c>
      <c r="S23" s="1387">
        <f>F23</f>
        <v>100</v>
      </c>
      <c r="T23" s="1386" t="s">
        <v>5</v>
      </c>
      <c r="U23" s="1387">
        <f>H23</f>
        <v>100</v>
      </c>
      <c r="V23" s="1386" t="s">
        <v>5</v>
      </c>
      <c r="W23" s="1387">
        <f>J23</f>
        <v>100</v>
      </c>
      <c r="X23" s="1380"/>
      <c r="Y23" s="390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03"/>
      <c r="Q24" s="1385">
        <f t="shared" ref="Q24:Q34" si="8">B24</f>
        <v>111</v>
      </c>
      <c r="R24" s="1386" t="s">
        <v>5</v>
      </c>
      <c r="S24" s="1387">
        <f>F24</f>
        <v>100</v>
      </c>
      <c r="T24" s="1386" t="s">
        <v>5</v>
      </c>
      <c r="U24" s="1387">
        <f>H24</f>
        <v>100</v>
      </c>
      <c r="V24" s="1386" t="s">
        <v>5</v>
      </c>
      <c r="W24" s="1387">
        <f>J24</f>
        <v>100</v>
      </c>
      <c r="X24" s="1380"/>
      <c r="Y24" s="3903"/>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03"/>
      <c r="Q25" s="1050">
        <f t="shared" si="8"/>
        <v>111</v>
      </c>
      <c r="R25" s="1381" t="s">
        <v>5</v>
      </c>
      <c r="S25" s="1382">
        <f>F25</f>
        <v>100</v>
      </c>
      <c r="T25" s="1381" t="s">
        <v>5</v>
      </c>
      <c r="U25" s="1382">
        <f>H25</f>
        <v>100</v>
      </c>
      <c r="V25" s="1381" t="s">
        <v>5</v>
      </c>
      <c r="W25" s="1382">
        <f>J25</f>
        <v>100</v>
      </c>
      <c r="X25" s="1383"/>
      <c r="Y25" s="3903"/>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0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0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05"/>
      <c r="Q27" s="1414" t="str">
        <f t="shared" si="8"/>
        <v>成新率</v>
      </c>
      <c r="R27" s="1390" t="s">
        <v>5</v>
      </c>
      <c r="S27" s="1391" t="e">
        <f t="shared" si="9"/>
        <v>#N/A</v>
      </c>
      <c r="T27" s="1390" t="s">
        <v>5</v>
      </c>
      <c r="U27" s="1391" t="e">
        <f t="shared" si="10"/>
        <v>#N/A</v>
      </c>
      <c r="V27" s="1390" t="s">
        <v>5</v>
      </c>
      <c r="W27" s="1391" t="e">
        <f t="shared" si="11"/>
        <v>#N/A</v>
      </c>
      <c r="X27" s="1392"/>
      <c r="Y27" s="390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05"/>
      <c r="Q28" s="1385" t="str">
        <f t="shared" si="8"/>
        <v>物业等级</v>
      </c>
      <c r="R28" s="1386" t="s">
        <v>5</v>
      </c>
      <c r="S28" s="1387">
        <f t="shared" si="9"/>
        <v>100</v>
      </c>
      <c r="T28" s="1386" t="s">
        <v>5</v>
      </c>
      <c r="U28" s="1387">
        <f t="shared" si="10"/>
        <v>100</v>
      </c>
      <c r="V28" s="1386" t="s">
        <v>5</v>
      </c>
      <c r="W28" s="1387">
        <f t="shared" si="11"/>
        <v>100</v>
      </c>
      <c r="X28" s="1380"/>
      <c r="Y28" s="390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05"/>
      <c r="Q29" s="1385" t="str">
        <f t="shared" si="8"/>
        <v>有无电梯</v>
      </c>
      <c r="R29" s="1386" t="s">
        <v>5</v>
      </c>
      <c r="S29" s="1387">
        <f t="shared" si="9"/>
        <v>100</v>
      </c>
      <c r="T29" s="1386" t="s">
        <v>5</v>
      </c>
      <c r="U29" s="1387">
        <f t="shared" si="10"/>
        <v>100</v>
      </c>
      <c r="V29" s="1386" t="s">
        <v>5</v>
      </c>
      <c r="W29" s="1387">
        <f t="shared" si="11"/>
        <v>100</v>
      </c>
      <c r="X29" s="1380"/>
      <c r="Y29" s="390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05"/>
      <c r="Q30" s="1385" t="str">
        <f t="shared" si="8"/>
        <v>建筑面积</v>
      </c>
      <c r="R30" s="1386" t="s">
        <v>5</v>
      </c>
      <c r="S30" s="1387" t="e">
        <f t="shared" si="9"/>
        <v>#N/A</v>
      </c>
      <c r="T30" s="1386" t="s">
        <v>5</v>
      </c>
      <c r="U30" s="1387" t="e">
        <f t="shared" si="10"/>
        <v>#N/A</v>
      </c>
      <c r="V30" s="1386" t="s">
        <v>5</v>
      </c>
      <c r="W30" s="1387" t="e">
        <f t="shared" si="11"/>
        <v>#N/A</v>
      </c>
      <c r="X30" s="1380"/>
      <c r="Y30" s="390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05"/>
      <c r="Q31" s="1050" t="str">
        <f t="shared" si="8"/>
        <v>是否封闭</v>
      </c>
      <c r="R31" s="1381" t="s">
        <v>5</v>
      </c>
      <c r="S31" s="1382">
        <f t="shared" si="9"/>
        <v>100</v>
      </c>
      <c r="T31" s="1381" t="s">
        <v>5</v>
      </c>
      <c r="U31" s="1382">
        <f t="shared" si="10"/>
        <v>100</v>
      </c>
      <c r="V31" s="1381" t="s">
        <v>5</v>
      </c>
      <c r="W31" s="1382">
        <f t="shared" si="11"/>
        <v>100</v>
      </c>
      <c r="X31" s="1383"/>
      <c r="Y31" s="390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05" t="s">
        <v>499</v>
      </c>
      <c r="Q32" s="1385">
        <f t="shared" si="8"/>
        <v>111</v>
      </c>
      <c r="R32" s="1386" t="s">
        <v>5</v>
      </c>
      <c r="S32" s="1387">
        <f t="shared" si="9"/>
        <v>100</v>
      </c>
      <c r="T32" s="1386" t="s">
        <v>5</v>
      </c>
      <c r="U32" s="1387">
        <f t="shared" si="10"/>
        <v>100</v>
      </c>
      <c r="V32" s="1386" t="s">
        <v>5</v>
      </c>
      <c r="W32" s="1387">
        <f t="shared" si="11"/>
        <v>100</v>
      </c>
      <c r="X32" s="1380"/>
      <c r="Y32" s="390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05"/>
      <c r="Q33" s="1385">
        <f t="shared" si="8"/>
        <v>111</v>
      </c>
      <c r="R33" s="1386" t="s">
        <v>5</v>
      </c>
      <c r="S33" s="1387">
        <f t="shared" si="9"/>
        <v>100</v>
      </c>
      <c r="T33" s="1386" t="s">
        <v>5</v>
      </c>
      <c r="U33" s="1387">
        <f t="shared" si="10"/>
        <v>100</v>
      </c>
      <c r="V33" s="1386" t="s">
        <v>5</v>
      </c>
      <c r="W33" s="1387">
        <f t="shared" si="11"/>
        <v>100</v>
      </c>
      <c r="X33" s="1380"/>
      <c r="Y33" s="3905"/>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05"/>
      <c r="Q34" s="1385">
        <f t="shared" si="8"/>
        <v>111</v>
      </c>
      <c r="R34" s="1386" t="s">
        <v>5</v>
      </c>
      <c r="S34" s="1387">
        <f t="shared" si="9"/>
        <v>100</v>
      </c>
      <c r="T34" s="1386" t="s">
        <v>5</v>
      </c>
      <c r="U34" s="1387">
        <f t="shared" si="10"/>
        <v>100</v>
      </c>
      <c r="V34" s="1386" t="s">
        <v>5</v>
      </c>
      <c r="W34" s="1387">
        <f t="shared" si="11"/>
        <v>100</v>
      </c>
      <c r="X34" s="1380"/>
      <c r="Y34" s="3905"/>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00" t="str">
        <f>A35</f>
        <v>成交单价（元/平方米）</v>
      </c>
      <c r="Q35" s="3900"/>
      <c r="R35" s="3997">
        <f>E35</f>
        <v>0</v>
      </c>
      <c r="S35" s="3997"/>
      <c r="T35" s="3997">
        <f>G35</f>
        <v>0</v>
      </c>
      <c r="U35" s="3997"/>
      <c r="V35" s="3997">
        <f>I35</f>
        <v>0</v>
      </c>
      <c r="W35" s="3997"/>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00" t="str">
        <f>A36</f>
        <v>比较价格（元/平方米）</v>
      </c>
      <c r="Q36" s="3900"/>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06" t="str">
        <f>A37</f>
        <v>估价对象XX用房的比较价格（楼面单价，元/平方米）</v>
      </c>
      <c r="Q37" s="3907"/>
      <c r="R37" s="3996" t="e">
        <f>IF(F1="售价",ROUND(IF(D36="简单平均",AVERAGE(R36:W36),R36*F36+T36*H36+V36*J36),0),ROUND(IF(D36="简单平均",AVERAGE(R36:V36),R36*F36+T36*H36+V36*J36),1))</f>
        <v>#DIV/0!</v>
      </c>
      <c r="S37" s="3996"/>
      <c r="T37" s="3996"/>
      <c r="U37" s="3996"/>
      <c r="V37" s="3996"/>
      <c r="W37" s="399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6" t="s">
        <v>1661</v>
      </c>
      <c r="D1" s="4007"/>
      <c r="E1" s="4007"/>
      <c r="F1" s="4007"/>
      <c r="G1" s="4007"/>
      <c r="H1" s="4007"/>
      <c r="I1" s="4007"/>
      <c r="J1" s="4007"/>
      <c r="K1" s="4007"/>
      <c r="L1" s="4007"/>
      <c r="M1" s="4007"/>
      <c r="N1" s="4007"/>
      <c r="O1" s="4007"/>
      <c r="P1" s="4007"/>
      <c r="Q1" s="4007"/>
      <c r="R1" s="4007"/>
      <c r="S1" s="400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03" t="s">
        <v>14</v>
      </c>
      <c r="D22" s="4004"/>
      <c r="E22" s="4004"/>
      <c r="F22" s="4004"/>
      <c r="G22" s="4004"/>
      <c r="H22" s="4004"/>
      <c r="I22" s="4004"/>
      <c r="J22" s="4004"/>
      <c r="K22" s="4004"/>
      <c r="L22" s="4004"/>
      <c r="M22" s="4004"/>
      <c r="N22" s="4004"/>
      <c r="O22" s="4004"/>
      <c r="P22" s="4004"/>
      <c r="Q22" s="4005"/>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G13" sqref="G13:G1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44994</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7" t="s">
        <v>1556</v>
      </c>
      <c r="B1" s="3687"/>
      <c r="C1" s="3687"/>
      <c r="D1" s="3687"/>
      <c r="E1" s="3687"/>
      <c r="F1" s="3687"/>
      <c r="G1" s="3687"/>
      <c r="H1" s="3687"/>
      <c r="I1" s="3687"/>
      <c r="J1" s="3687"/>
      <c r="K1" s="3687"/>
      <c r="L1" s="3687"/>
      <c r="M1" s="3687"/>
      <c r="N1" s="3687"/>
      <c r="O1" s="3687"/>
      <c r="P1" s="3687"/>
      <c r="Q1" s="3687"/>
      <c r="R1" s="3687"/>
    </row>
    <row r="2" spans="1:18">
      <c r="A2" s="1595" t="s">
        <v>1558</v>
      </c>
      <c r="B2" s="1595"/>
      <c r="C2" s="1595"/>
      <c r="D2" s="1595"/>
      <c r="E2" s="1595"/>
      <c r="F2" s="1595"/>
      <c r="G2" s="1595"/>
      <c r="H2" s="1595"/>
      <c r="I2" s="1596"/>
      <c r="J2" s="1596"/>
      <c r="K2" s="1597" t="str">
        <f>"估价期日："&amp;TEXT(项目基本情况!D3,"yyyy年m月d日;;")</f>
        <v>估价期日：2023年3月9日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8" t="s">
        <v>1547</v>
      </c>
      <c r="B3" s="3688" t="s">
        <v>2013</v>
      </c>
      <c r="C3" s="3689" t="s">
        <v>1548</v>
      </c>
      <c r="D3" s="3688" t="s">
        <v>2017</v>
      </c>
      <c r="E3" s="3691" t="s">
        <v>1549</v>
      </c>
      <c r="F3" s="3691"/>
      <c r="G3" s="3691"/>
      <c r="H3" s="3691" t="s">
        <v>1550</v>
      </c>
      <c r="I3" s="3691"/>
      <c r="J3" s="3691"/>
      <c r="K3" s="3689" t="s">
        <v>1551</v>
      </c>
      <c r="L3" s="3689" t="s">
        <v>1552</v>
      </c>
      <c r="M3" s="3688" t="s">
        <v>2014</v>
      </c>
      <c r="N3" s="3690" t="str">
        <f>"（分摊）"&amp;项目基本情况!A17&amp;"国有建设用地使用权面积/㎡"</f>
        <v>（分摊）出让国有建设用地使用权面积/㎡</v>
      </c>
      <c r="O3" s="3688" t="s">
        <v>1581</v>
      </c>
      <c r="P3" s="3689" t="s">
        <v>1561</v>
      </c>
      <c r="Q3" s="3689" t="s">
        <v>1582</v>
      </c>
      <c r="R3" s="3689" t="s">
        <v>1553</v>
      </c>
    </row>
    <row r="4" spans="1:18" ht="36.75" customHeight="1">
      <c r="A4" s="3688"/>
      <c r="B4" s="3688"/>
      <c r="C4" s="3689"/>
      <c r="D4" s="3688"/>
      <c r="E4" s="2254" t="s">
        <v>1560</v>
      </c>
      <c r="F4" s="2254" t="s">
        <v>2026</v>
      </c>
      <c r="G4" s="2254" t="s">
        <v>1554</v>
      </c>
      <c r="H4" s="2254" t="s">
        <v>1555</v>
      </c>
      <c r="I4" s="2254" t="s">
        <v>2027</v>
      </c>
      <c r="J4" s="2254" t="s">
        <v>1554</v>
      </c>
      <c r="K4" s="3689"/>
      <c r="L4" s="3689"/>
      <c r="M4" s="3688"/>
      <c r="N4" s="3690"/>
      <c r="O4" s="3688"/>
      <c r="P4" s="3689"/>
      <c r="Q4" s="3689"/>
      <c r="R4" s="3689"/>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185600</v>
      </c>
      <c r="O5" s="1598">
        <f>项目基本情况!C21</f>
        <v>371200</v>
      </c>
      <c r="P5" s="1598">
        <f ca="1">结果表!E42</f>
        <v>16505</v>
      </c>
      <c r="Q5" s="1598">
        <f ca="1">结果表!D42</f>
        <v>8253</v>
      </c>
      <c r="R5" s="1599">
        <f ca="1">结果表!C42</f>
        <v>306340</v>
      </c>
    </row>
    <row r="6" spans="1:18">
      <c r="A6" s="3692" t="str">
        <f>IF(项目基本情况!B9="市场价格","——","抵押价格")</f>
        <v>——</v>
      </c>
      <c r="B6" s="3693"/>
      <c r="C6" s="3693"/>
      <c r="D6" s="3693"/>
      <c r="E6" s="3693"/>
      <c r="F6" s="3693"/>
      <c r="G6" s="3693"/>
      <c r="H6" s="3693"/>
      <c r="I6" s="3693"/>
      <c r="J6" s="3693"/>
      <c r="K6" s="3693"/>
      <c r="L6" s="3693"/>
      <c r="M6" s="3693"/>
      <c r="N6" s="3693"/>
      <c r="O6" s="3693"/>
      <c r="P6" s="3693"/>
      <c r="Q6" s="3694"/>
      <c r="R6" s="1600" t="str">
        <f>结果表!O39</f>
        <v>——</v>
      </c>
    </row>
    <row r="7" spans="1:18">
      <c r="A7" s="3692" t="str">
        <f>IF(项目基本情况!B9="市场价格","——",IF(项目基本情况!E8="已注销及未注销","抵押担保权已注销时的抵押价格","——"))</f>
        <v>——</v>
      </c>
      <c r="B7" s="3693"/>
      <c r="C7" s="3693"/>
      <c r="D7" s="3693"/>
      <c r="E7" s="3693"/>
      <c r="F7" s="3693"/>
      <c r="G7" s="3693"/>
      <c r="H7" s="3693"/>
      <c r="I7" s="3693"/>
      <c r="J7" s="3693"/>
      <c r="K7" s="3693"/>
      <c r="L7" s="3693"/>
      <c r="M7" s="3693"/>
      <c r="N7" s="3693"/>
      <c r="O7" s="3693"/>
      <c r="P7" s="3693"/>
      <c r="Q7" s="3694"/>
      <c r="R7" s="1600" t="str">
        <f>结果表!O40</f>
        <v>——</v>
      </c>
    </row>
    <row r="8" spans="1:18">
      <c r="A8" s="3692" t="str">
        <f>IF(项目基本情况!B9="市场价格","——",项目基本情况!E9)</f>
        <v>——</v>
      </c>
      <c r="B8" s="3693"/>
      <c r="C8" s="3693"/>
      <c r="D8" s="3693"/>
      <c r="E8" s="3693"/>
      <c r="F8" s="3693"/>
      <c r="G8" s="3693"/>
      <c r="H8" s="3693"/>
      <c r="I8" s="3693"/>
      <c r="J8" s="3693"/>
      <c r="K8" s="3693"/>
      <c r="L8" s="3693"/>
      <c r="M8" s="3693"/>
      <c r="N8" s="3693"/>
      <c r="O8" s="3693"/>
      <c r="P8" s="3693"/>
      <c r="Q8" s="3694"/>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5" t="s">
        <v>1583</v>
      </c>
      <c r="B1" s="3695"/>
      <c r="C1" s="3695"/>
      <c r="D1" s="3695"/>
    </row>
    <row r="2" spans="1:4" ht="47.25" customHeight="1">
      <c r="A2" s="3699" t="str">
        <f>"1.权利限制："&amp;项目基本情况!L24&amp;"未设定租赁等其他他项权利。"</f>
        <v>1.权利限制：根据估价对象《不动产权证书》原件、《国有土地使用权》复印件，截至估价期日，估价对象抵押权未见登记。未设定租赁等其他他项权利。</v>
      </c>
      <c r="B2" s="3699"/>
      <c r="C2" s="3699"/>
      <c r="D2" s="3699"/>
    </row>
    <row r="3" spans="1:4" ht="48" customHeight="1">
      <c r="A3" s="36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5"/>
      <c r="C3" s="3695"/>
      <c r="D3" s="3695"/>
    </row>
    <row r="4" spans="1:4" ht="36.75" customHeight="1">
      <c r="A4" s="3695" t="str">
        <f>"3.估价规划限制条件：详见"&amp;项目基本情况!E21&amp;"。"</f>
        <v>3.估价规划限制条件：详见《建设工程规划许可证》[]、《出让合同》[]。</v>
      </c>
      <c r="B4" s="3695"/>
      <c r="C4" s="3695"/>
      <c r="D4" s="3695"/>
    </row>
    <row r="5" spans="1:4">
      <c r="A5" s="3698" t="s">
        <v>1584</v>
      </c>
      <c r="B5" s="3698"/>
      <c r="C5" s="3698"/>
      <c r="D5" s="3698"/>
    </row>
    <row r="6" spans="1:4">
      <c r="A6" s="3695" t="s">
        <v>1562</v>
      </c>
      <c r="B6" s="3695"/>
      <c r="C6" s="3695"/>
      <c r="D6" s="3695"/>
    </row>
    <row r="7" spans="1:4" ht="33" customHeight="1">
      <c r="A7" s="3695" t="s">
        <v>1857</v>
      </c>
      <c r="B7" s="3695"/>
      <c r="C7" s="3695"/>
      <c r="D7" s="3695"/>
    </row>
    <row r="8" spans="1:4" ht="32.25" customHeight="1">
      <c r="A8" s="36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5"/>
      <c r="C8" s="3695"/>
      <c r="D8" s="3695"/>
    </row>
    <row r="9" spans="1:4" ht="33.75" customHeight="1">
      <c r="A9" s="3695" t="str">
        <f>IF(项目基本情况!B8="抵押","3.抵押双方在办理抵押登记手续时，应使用本公司出具的正式《土地估价报告》，特提请报告使用者注意。","——")</f>
        <v>——</v>
      </c>
      <c r="B9" s="3695"/>
      <c r="C9" s="3695"/>
      <c r="D9" s="3695"/>
    </row>
    <row r="10" spans="1:4">
      <c r="A10" s="3695" t="str">
        <f>IF(项目基本情况!B8="抵押","4.估价师所知悉的法定优先受偿款情况为：","——")</f>
        <v>——</v>
      </c>
      <c r="B10" s="3695"/>
      <c r="C10" s="3695"/>
      <c r="D10" s="3695"/>
    </row>
    <row r="11" spans="1:4" ht="37.5" customHeight="1">
      <c r="A11" s="3697" t="str">
        <f>IF(项目基本情况!B8="抵押","（1）"&amp;CONCATENATE(项目基本情况!L24,项目基本情况!L25,项目基本情况!L26),"——")</f>
        <v>——</v>
      </c>
      <c r="B11" s="3697"/>
      <c r="C11" s="3697"/>
      <c r="D11" s="3697"/>
    </row>
    <row r="12" spans="1:4" ht="168" customHeight="1">
      <c r="A12" s="3698" t="s">
        <v>1586</v>
      </c>
      <c r="B12" s="3698"/>
      <c r="C12" s="3698"/>
      <c r="D12" s="3698"/>
    </row>
    <row r="13" spans="1:4">
      <c r="A13" s="3696" t="s">
        <v>2028</v>
      </c>
      <c r="B13" s="3696"/>
      <c r="C13" s="3696"/>
      <c r="D13" s="3696"/>
    </row>
    <row r="14" spans="1:4">
      <c r="A14" s="3697" t="str">
        <f>IF(项目基本情况!B8="抵押","综上，"&amp;结果表!K47,"——")</f>
        <v>——</v>
      </c>
      <c r="B14" s="3697"/>
      <c r="C14" s="3697"/>
      <c r="D14" s="3697"/>
    </row>
    <row r="15" spans="1:4" ht="58.5" customHeight="1">
      <c r="A15" s="36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5"/>
      <c r="C15" s="3695"/>
      <c r="D15" s="3695"/>
    </row>
    <row r="16" spans="1:4" ht="70.5" customHeight="1">
      <c r="A16" s="36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5"/>
      <c r="C16" s="3695"/>
      <c r="D16" s="3695"/>
    </row>
    <row r="17" spans="1:4">
      <c r="A17" s="3695" t="s">
        <v>1984</v>
      </c>
      <c r="B17" s="3695"/>
      <c r="C17" s="3695"/>
      <c r="D17" s="3695"/>
    </row>
    <row r="18" spans="1:4">
      <c r="A18" s="3695" t="s">
        <v>1976</v>
      </c>
      <c r="B18" s="3695"/>
      <c r="C18" s="3695"/>
      <c r="D18" s="3695"/>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5" t="s">
        <v>1981</v>
      </c>
      <c r="B23" s="3695"/>
      <c r="C23" s="3695"/>
      <c r="D23" s="3695"/>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7" t="s">
        <v>27</v>
      </c>
      <c r="B15" s="3708" t="s">
        <v>784</v>
      </c>
      <c r="C15" s="3704"/>
    </row>
    <row r="16" spans="1:7" ht="14.25">
      <c r="A16" s="3707"/>
      <c r="B16" s="3705" t="s">
        <v>28</v>
      </c>
      <c r="C16" s="1070" t="s">
        <v>27</v>
      </c>
    </row>
    <row r="17" spans="1:3" ht="14.25">
      <c r="A17" s="3707"/>
      <c r="B17" s="3705"/>
      <c r="C17" s="1070" t="s">
        <v>29</v>
      </c>
    </row>
    <row r="18" spans="1:3" ht="14.25">
      <c r="A18" s="3707"/>
      <c r="B18" s="3705"/>
      <c r="C18" s="1070" t="s">
        <v>30</v>
      </c>
    </row>
    <row r="19" spans="1:3" ht="14.25">
      <c r="A19" s="3707"/>
      <c r="B19" s="3703" t="s">
        <v>31</v>
      </c>
      <c r="C19" s="3704"/>
    </row>
    <row r="20" spans="1:3" ht="14.25">
      <c r="A20" s="1071" t="s">
        <v>32</v>
      </c>
      <c r="B20" s="1072"/>
      <c r="C20" s="1073"/>
    </row>
    <row r="21" spans="1:3" ht="14.25">
      <c r="A21" s="3706" t="s">
        <v>33</v>
      </c>
      <c r="B21" s="3703" t="s">
        <v>34</v>
      </c>
      <c r="C21" s="3704"/>
    </row>
    <row r="22" spans="1:3" ht="14.25">
      <c r="A22" s="3706"/>
      <c r="B22" s="3703" t="s">
        <v>35</v>
      </c>
      <c r="C22" s="3704"/>
    </row>
    <row r="23" spans="1:3" ht="14.25">
      <c r="A23" s="3706"/>
      <c r="B23" s="3703" t="s">
        <v>36</v>
      </c>
      <c r="C23" s="3704"/>
    </row>
    <row r="24" spans="1:3" ht="14.25">
      <c r="A24" s="3706"/>
      <c r="B24" s="3709" t="s">
        <v>37</v>
      </c>
      <c r="C24" s="1074" t="s">
        <v>775</v>
      </c>
    </row>
    <row r="25" spans="1:3" ht="14.25">
      <c r="A25" s="3706"/>
      <c r="B25" s="3710"/>
      <c r="C25" s="1074" t="s">
        <v>776</v>
      </c>
    </row>
    <row r="26" spans="1:3" ht="14.25">
      <c r="A26" s="3706"/>
      <c r="B26" s="3710"/>
      <c r="C26" s="1074" t="s">
        <v>777</v>
      </c>
    </row>
    <row r="27" spans="1:3" ht="14.25">
      <c r="A27" s="3706"/>
      <c r="B27" s="3710"/>
      <c r="C27" s="1074" t="s">
        <v>778</v>
      </c>
    </row>
    <row r="28" spans="1:3" ht="14.25">
      <c r="A28" s="3706"/>
      <c r="B28" s="3710"/>
      <c r="C28" s="1074" t="s">
        <v>779</v>
      </c>
    </row>
    <row r="29" spans="1:3" ht="14.25">
      <c r="A29" s="3706"/>
      <c r="B29" s="3710"/>
      <c r="C29" s="1074" t="s">
        <v>780</v>
      </c>
    </row>
    <row r="30" spans="1:3" ht="14.25">
      <c r="A30" s="3706"/>
      <c r="B30" s="3710"/>
      <c r="C30" s="1074" t="s">
        <v>781</v>
      </c>
    </row>
    <row r="31" spans="1:3" ht="14.25">
      <c r="A31" s="3706"/>
      <c r="B31" s="3710"/>
      <c r="C31" s="1074" t="s">
        <v>782</v>
      </c>
    </row>
    <row r="32" spans="1:3" ht="14.25">
      <c r="A32" s="3706"/>
      <c r="B32" s="3710"/>
      <c r="C32" s="1074" t="s">
        <v>1181</v>
      </c>
    </row>
    <row r="33" spans="1:3" ht="14.25">
      <c r="A33" s="3706"/>
      <c r="B33" s="3700" t="s">
        <v>1187</v>
      </c>
      <c r="C33" s="1074" t="s">
        <v>1182</v>
      </c>
    </row>
    <row r="34" spans="1:3" ht="14.25">
      <c r="A34" s="3706"/>
      <c r="B34" s="3701"/>
      <c r="C34" s="1079" t="s">
        <v>1183</v>
      </c>
    </row>
    <row r="35" spans="1:3" ht="14.25">
      <c r="A35" s="3706"/>
      <c r="B35" s="3701"/>
      <c r="C35" s="1080" t="s">
        <v>1184</v>
      </c>
    </row>
    <row r="36" spans="1:3" ht="14.25">
      <c r="A36" s="3706"/>
      <c r="B36" s="3701"/>
      <c r="C36" s="1080" t="s">
        <v>1185</v>
      </c>
    </row>
    <row r="37" spans="1:3" ht="14.25">
      <c r="A37" s="3706"/>
      <c r="B37" s="3702"/>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45114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4" t="s">
        <v>1448</v>
      </c>
      <c r="B18" s="3715"/>
      <c r="C18" s="3715"/>
      <c r="D18" s="3715"/>
      <c r="E18" s="3715"/>
      <c r="F18" s="3715"/>
      <c r="G18" s="2777"/>
    </row>
    <row r="19" spans="1:7" ht="20.25" customHeight="1">
      <c r="A19" s="3711" t="s">
        <v>1449</v>
      </c>
      <c r="B19" s="3711"/>
      <c r="C19" s="3712"/>
      <c r="D19" s="3713" t="s">
        <v>1450</v>
      </c>
      <c r="E19" s="3711"/>
      <c r="F19" s="371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D25" sqref="D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3682" t="s">
        <v>3368</v>
      </c>
      <c r="C22" s="1371"/>
    </row>
    <row r="23" spans="1:3">
      <c r="A23" s="6" t="s">
        <v>92</v>
      </c>
      <c r="B23" s="3682" t="s">
        <v>3369</v>
      </c>
      <c r="C23" s="1371"/>
    </row>
    <row r="24" spans="1:3">
      <c r="A24" s="6" t="s">
        <v>9</v>
      </c>
      <c r="B24" s="3682" t="s">
        <v>3370</v>
      </c>
      <c r="C24" s="1371"/>
    </row>
    <row r="25" spans="1:3">
      <c r="A25" s="6" t="s">
        <v>93</v>
      </c>
      <c r="B25" s="3682" t="s">
        <v>3371</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c r="D53" s="1558"/>
      <c r="E53" s="1558"/>
    </row>
    <row r="54" spans="1:5">
      <c r="A54" s="371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新增项目</vt:lpstr>
      <vt:lpstr>在施项目</vt:lpstr>
      <vt:lpstr>项目基本情况</vt:lpstr>
      <vt:lpstr>数据-基础表</vt:lpstr>
      <vt:lpstr>数据-汇总表</vt:lpstr>
      <vt:lpstr>数据-取费表</vt:lpstr>
      <vt:lpstr>估价对象房地状况</vt:lpstr>
      <vt:lpstr>结果表</vt:lpstr>
      <vt:lpstr>基准地价-商业</vt:lpstr>
      <vt:lpstr>剩余法-商业</vt:lpstr>
      <vt:lpstr>基准地价-住宅</vt:lpstr>
      <vt:lpstr>剩余法-住宅</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系统读取表</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2017-03-09T08:11:21Z</cp:lastPrinted>
  <dcterms:created xsi:type="dcterms:W3CDTF">2015-07-13T07:17:23Z</dcterms:created>
  <dcterms:modified xsi:type="dcterms:W3CDTF">2023-07-07T06:53:42Z</dcterms:modified>
</cp:coreProperties>
</file>